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ances 2017\"/>
    </mc:Choice>
  </mc:AlternateContent>
  <bookViews>
    <workbookView xWindow="-180" yWindow="3675" windowWidth="25140" windowHeight="8265" firstSheet="1" activeTab="1"/>
  </bookViews>
  <sheets>
    <sheet name="Hoja1 (2)" sheetId="4" state="hidden" r:id="rId1"/>
    <sheet name="Avance Convenido" sheetId="6" r:id="rId2"/>
    <sheet name="Hoja1" sheetId="5" state="hidden" r:id="rId3"/>
    <sheet name="PF" sheetId="8" r:id="rId4"/>
    <sheet name="Hoja2" sheetId="9" state="hidden" r:id="rId5"/>
    <sheet name="GO" sheetId="10" state="hidden" r:id="rId6"/>
    <sheet name="Hoja3" sheetId="11" state="hidden" r:id="rId7"/>
    <sheet name="Hoja4" sheetId="12" state="hidden" r:id="rId8"/>
  </sheets>
  <externalReferences>
    <externalReference r:id="rId9"/>
  </externalReferences>
  <definedNames>
    <definedName name="_xlnm.Print_Area" localSheetId="1">'Avance Convenido'!$A$1:$W$173</definedName>
    <definedName name="_xlnm.Print_Area" localSheetId="2">Hoja1!$A$1:$H$58</definedName>
    <definedName name="_xlnm.Print_Area" localSheetId="0">'Hoja1 (2)'!$A$1:$AD$169</definedName>
    <definedName name="_xlnm.Print_Area" localSheetId="3">PF!$A$1:$BG$132</definedName>
    <definedName name="_xlnm.Print_Titles" localSheetId="1">'Avance Convenido'!$1:$6</definedName>
    <definedName name="_xlnm.Print_Titles" localSheetId="0">'Hoja1 (2)'!$1:$4</definedName>
    <definedName name="_xlnm.Print_Titles" localSheetId="3">PF!$1:$4</definedName>
  </definedNames>
  <calcPr calcId="162913"/>
</workbook>
</file>

<file path=xl/calcChain.xml><?xml version="1.0" encoding="utf-8"?>
<calcChain xmlns="http://schemas.openxmlformats.org/spreadsheetml/2006/main">
  <c r="X37" i="8" l="1"/>
  <c r="W37" i="8"/>
  <c r="X36" i="8"/>
  <c r="W36" i="8"/>
  <c r="X35" i="8"/>
  <c r="W35" i="8"/>
  <c r="AC8" i="8"/>
  <c r="N8" i="8"/>
  <c r="CA126" i="8" l="1"/>
  <c r="BZ126" i="8"/>
  <c r="BY126" i="8"/>
  <c r="CA125" i="8"/>
  <c r="BZ125" i="8"/>
  <c r="BY125" i="8"/>
  <c r="CA124" i="8"/>
  <c r="BZ124" i="8"/>
  <c r="BY124" i="8"/>
  <c r="CA123" i="8"/>
  <c r="BZ123" i="8"/>
  <c r="BY123" i="8"/>
  <c r="CA122" i="8"/>
  <c r="BZ122" i="8"/>
  <c r="BY122" i="8"/>
  <c r="CA121" i="8"/>
  <c r="BZ121" i="8"/>
  <c r="BY121" i="8"/>
  <c r="CA120" i="8"/>
  <c r="BZ120" i="8"/>
  <c r="BY120" i="8"/>
  <c r="CA119" i="8"/>
  <c r="BZ119" i="8"/>
  <c r="BY119" i="8"/>
  <c r="CA118" i="8"/>
  <c r="BZ118" i="8"/>
  <c r="BY118" i="8"/>
  <c r="CA117" i="8"/>
  <c r="BZ117" i="8"/>
  <c r="BY117" i="8"/>
  <c r="CA116" i="8"/>
  <c r="BZ116" i="8"/>
  <c r="BY116" i="8"/>
  <c r="CA115" i="8"/>
  <c r="BZ115" i="8"/>
  <c r="BY115" i="8"/>
  <c r="CA114" i="8"/>
  <c r="BZ114" i="8"/>
  <c r="BY114" i="8"/>
  <c r="CA113" i="8"/>
  <c r="BZ113" i="8"/>
  <c r="BY113" i="8"/>
  <c r="CA112" i="8"/>
  <c r="BZ112" i="8"/>
  <c r="BY112" i="8"/>
  <c r="CA111" i="8"/>
  <c r="BZ111" i="8"/>
  <c r="BY111" i="8"/>
  <c r="CA110" i="8"/>
  <c r="BZ110" i="8"/>
  <c r="BY110" i="8"/>
  <c r="CA109" i="8"/>
  <c r="BZ109" i="8"/>
  <c r="BY109" i="8"/>
  <c r="CA108" i="8"/>
  <c r="BZ108" i="8"/>
  <c r="BY108" i="8"/>
  <c r="CA107" i="8"/>
  <c r="BZ107" i="8"/>
  <c r="BY107" i="8"/>
  <c r="CA106" i="8"/>
  <c r="BZ106" i="8"/>
  <c r="BY106" i="8"/>
  <c r="CA105" i="8"/>
  <c r="BZ105" i="8"/>
  <c r="BY105" i="8"/>
  <c r="CA104" i="8"/>
  <c r="BZ104" i="8"/>
  <c r="BY104" i="8"/>
  <c r="CA103" i="8"/>
  <c r="BZ103" i="8"/>
  <c r="BY103" i="8"/>
  <c r="CA102" i="8"/>
  <c r="BZ102" i="8"/>
  <c r="BY102" i="8"/>
  <c r="CA101" i="8"/>
  <c r="BZ101" i="8"/>
  <c r="BY101" i="8"/>
  <c r="CA100" i="8"/>
  <c r="BZ100" i="8"/>
  <c r="BY100" i="8"/>
  <c r="CA99" i="8"/>
  <c r="BZ99" i="8"/>
  <c r="BY99" i="8"/>
  <c r="CA98" i="8"/>
  <c r="BZ98" i="8"/>
  <c r="BY98" i="8"/>
  <c r="CA97" i="8"/>
  <c r="BZ97" i="8"/>
  <c r="BY97" i="8"/>
  <c r="CA96" i="8"/>
  <c r="BZ96" i="8"/>
  <c r="BY96" i="8"/>
  <c r="CA95" i="8"/>
  <c r="BZ95" i="8"/>
  <c r="BY95" i="8"/>
  <c r="CA94" i="8"/>
  <c r="BZ94" i="8"/>
  <c r="BY94" i="8"/>
  <c r="CA93" i="8"/>
  <c r="BZ93" i="8"/>
  <c r="BY93" i="8"/>
  <c r="CA92" i="8"/>
  <c r="BZ92" i="8"/>
  <c r="BY92" i="8"/>
  <c r="CA91" i="8"/>
  <c r="BZ91" i="8"/>
  <c r="BY91" i="8"/>
  <c r="CA90" i="8"/>
  <c r="BZ90" i="8"/>
  <c r="CA89" i="8"/>
  <c r="BZ89" i="8"/>
  <c r="CA88" i="8"/>
  <c r="BZ88" i="8"/>
  <c r="CA87" i="8"/>
  <c r="BZ87" i="8"/>
  <c r="CA86" i="8"/>
  <c r="BZ86" i="8"/>
  <c r="CA85" i="8"/>
  <c r="BZ85" i="8"/>
  <c r="BY85" i="8"/>
  <c r="CA84" i="8"/>
  <c r="BZ84" i="8"/>
  <c r="BY84" i="8"/>
  <c r="CA83" i="8"/>
  <c r="BZ83" i="8"/>
  <c r="BY83" i="8"/>
  <c r="CA82" i="8"/>
  <c r="BZ82" i="8"/>
  <c r="BY82" i="8"/>
  <c r="CA81" i="8"/>
  <c r="BZ81" i="8"/>
  <c r="BY81" i="8"/>
  <c r="CA80" i="8"/>
  <c r="BZ80" i="8"/>
  <c r="BY80" i="8"/>
  <c r="CA79" i="8"/>
  <c r="BZ79" i="8"/>
  <c r="BY79" i="8"/>
  <c r="CA78" i="8"/>
  <c r="BZ78" i="8"/>
  <c r="BY78" i="8"/>
  <c r="CA77" i="8"/>
  <c r="BZ77" i="8"/>
  <c r="BY77" i="8"/>
  <c r="CA76" i="8"/>
  <c r="BZ76" i="8"/>
  <c r="BY76" i="8"/>
  <c r="CA69" i="8"/>
  <c r="BZ69" i="8"/>
  <c r="BY69" i="8"/>
  <c r="CA68" i="8"/>
  <c r="BZ68" i="8"/>
  <c r="BY68" i="8"/>
  <c r="CA67" i="8"/>
  <c r="BZ67" i="8"/>
  <c r="BY67" i="8"/>
  <c r="CA66" i="8"/>
  <c r="BZ66" i="8"/>
  <c r="BY66" i="8"/>
  <c r="CA65" i="8"/>
  <c r="BZ65" i="8"/>
  <c r="BY65" i="8"/>
  <c r="CA64" i="8"/>
  <c r="BZ64" i="8"/>
  <c r="BY64" i="8"/>
  <c r="CA63" i="8"/>
  <c r="BZ63" i="8"/>
  <c r="BY63" i="8"/>
  <c r="CA62" i="8"/>
  <c r="BZ62" i="8"/>
  <c r="BY62" i="8"/>
  <c r="CA61" i="8"/>
  <c r="BZ61" i="8"/>
  <c r="BY61" i="8"/>
  <c r="CA60" i="8"/>
  <c r="BZ60" i="8"/>
  <c r="BY60" i="8"/>
  <c r="CA59" i="8"/>
  <c r="BZ59" i="8"/>
  <c r="BY59" i="8"/>
  <c r="CA58" i="8"/>
  <c r="BZ58" i="8"/>
  <c r="BY58" i="8"/>
  <c r="CA57" i="8"/>
  <c r="BZ57" i="8"/>
  <c r="BY57" i="8"/>
  <c r="CA56" i="8"/>
  <c r="BZ56" i="8"/>
  <c r="BY56" i="8"/>
  <c r="CA55" i="8"/>
  <c r="BZ55" i="8"/>
  <c r="BY55" i="8"/>
  <c r="CA54" i="8"/>
  <c r="BZ54" i="8"/>
  <c r="BY54" i="8"/>
  <c r="CA53" i="8"/>
  <c r="BZ53" i="8"/>
  <c r="BY53" i="8"/>
  <c r="CA52" i="8"/>
  <c r="BZ52" i="8"/>
  <c r="BY52" i="8"/>
  <c r="CA51" i="8"/>
  <c r="BZ51" i="8"/>
  <c r="BY51" i="8"/>
  <c r="CA50" i="8"/>
  <c r="BZ50" i="8"/>
  <c r="BY50" i="8"/>
  <c r="CA49" i="8"/>
  <c r="BZ49" i="8"/>
  <c r="BY49" i="8"/>
  <c r="CA48" i="8"/>
  <c r="BZ48" i="8"/>
  <c r="BY48" i="8"/>
  <c r="CA47" i="8"/>
  <c r="BZ47" i="8"/>
  <c r="BY47" i="8"/>
  <c r="CA46" i="8"/>
  <c r="BZ46" i="8"/>
  <c r="BY46" i="8"/>
  <c r="CA45" i="8"/>
  <c r="BZ45" i="8"/>
  <c r="BY45" i="8"/>
  <c r="CA44" i="8"/>
  <c r="BZ44" i="8"/>
  <c r="BY44" i="8"/>
  <c r="CA43" i="8"/>
  <c r="BZ43" i="8"/>
  <c r="BY43" i="8"/>
  <c r="BZ42" i="8"/>
  <c r="BY42" i="8"/>
  <c r="CA41" i="8"/>
  <c r="BZ41" i="8"/>
  <c r="BY41" i="8"/>
  <c r="CA40" i="8"/>
  <c r="BZ40" i="8"/>
  <c r="BY40" i="8"/>
  <c r="CA39" i="8"/>
  <c r="BZ39" i="8"/>
  <c r="BY39" i="8"/>
  <c r="CA34" i="8"/>
  <c r="BZ34" i="8"/>
  <c r="BY34" i="8"/>
  <c r="CA33" i="8"/>
  <c r="BZ33" i="8"/>
  <c r="BY33" i="8"/>
  <c r="CA32" i="8"/>
  <c r="BZ32" i="8"/>
  <c r="BY32" i="8"/>
  <c r="CA31" i="8"/>
  <c r="BZ31" i="8"/>
  <c r="BY31" i="8"/>
  <c r="CA30" i="8"/>
  <c r="BZ30" i="8"/>
  <c r="BY30" i="8"/>
  <c r="CA28" i="8"/>
  <c r="BZ28" i="8"/>
  <c r="BY28" i="8"/>
  <c r="BZ11" i="8"/>
  <c r="BY11" i="8"/>
  <c r="X20" i="8" l="1"/>
  <c r="T27" i="8" l="1"/>
  <c r="U27" i="8"/>
  <c r="V27" i="8"/>
  <c r="X26" i="8"/>
  <c r="W26" i="8"/>
  <c r="X25" i="8"/>
  <c r="W25" i="8"/>
  <c r="X24" i="8"/>
  <c r="X18" i="8"/>
  <c r="X16" i="8"/>
  <c r="W16" i="8"/>
  <c r="X15" i="8"/>
  <c r="W15" i="8"/>
  <c r="W17" i="8" s="1"/>
  <c r="X14" i="8"/>
  <c r="W14" i="8"/>
  <c r="Y12" i="8"/>
  <c r="X12" i="8"/>
  <c r="W12" i="8"/>
  <c r="W9" i="8"/>
  <c r="X9" i="8"/>
  <c r="W10" i="8"/>
  <c r="X10" i="8"/>
  <c r="X8" i="8"/>
  <c r="W8" i="8"/>
  <c r="X38" i="8"/>
  <c r="W38" i="8"/>
  <c r="W7" i="8"/>
  <c r="W13" i="8" s="1"/>
  <c r="Z7" i="8"/>
  <c r="AA7" i="8"/>
  <c r="AB8" i="8"/>
  <c r="AB9" i="8"/>
  <c r="AB10" i="8"/>
  <c r="Z11" i="8"/>
  <c r="Z13" i="8" s="1"/>
  <c r="AA11" i="8"/>
  <c r="AA13" i="8" s="1"/>
  <c r="AA29" i="8" s="1"/>
  <c r="AA127" i="8" s="1"/>
  <c r="AB11" i="8"/>
  <c r="AB14" i="8"/>
  <c r="AB15" i="8"/>
  <c r="AB16" i="8"/>
  <c r="AB17" i="8" s="1"/>
  <c r="Z17" i="8"/>
  <c r="AA17" i="8"/>
  <c r="Z19" i="8"/>
  <c r="AA19" i="8"/>
  <c r="AB19" i="8"/>
  <c r="AB20" i="8"/>
  <c r="AB24" i="8" s="1"/>
  <c r="Z24" i="8"/>
  <c r="Z29" i="8" s="1"/>
  <c r="AA24" i="8"/>
  <c r="Z27" i="8"/>
  <c r="AA27" i="8"/>
  <c r="AB27" i="8"/>
  <c r="Z33" i="8"/>
  <c r="Z40" i="8" s="1"/>
  <c r="AB35" i="8"/>
  <c r="AB36" i="8"/>
  <c r="AB37" i="8"/>
  <c r="AB38" i="8" s="1"/>
  <c r="Z38" i="8"/>
  <c r="AA38" i="8"/>
  <c r="AB42" i="8"/>
  <c r="AA46" i="8"/>
  <c r="AB46" i="8"/>
  <c r="AA47" i="8"/>
  <c r="AB47" i="8"/>
  <c r="AA48" i="8"/>
  <c r="AB48" i="8"/>
  <c r="AA49" i="8"/>
  <c r="X7" i="8" l="1"/>
  <c r="X13" i="8" s="1"/>
  <c r="X27" i="8"/>
  <c r="Z127" i="8"/>
  <c r="X17" i="8"/>
  <c r="AB7" i="8"/>
  <c r="AB13" i="8" s="1"/>
  <c r="AB29" i="8" s="1"/>
  <c r="AB127" i="8" s="1"/>
  <c r="X19" i="8"/>
  <c r="W27" i="8"/>
  <c r="X29" i="8"/>
  <c r="X127" i="8" s="1"/>
  <c r="P8" i="8" l="1"/>
  <c r="J180" i="6" l="1"/>
  <c r="T18" i="8" l="1"/>
  <c r="W18" i="8" s="1"/>
  <c r="W19" i="8" l="1"/>
  <c r="AN2" i="8" l="1"/>
  <c r="AY8" i="8" l="1"/>
  <c r="AM37" i="8"/>
  <c r="AL37" i="8"/>
  <c r="AM36" i="8"/>
  <c r="AL36" i="8"/>
  <c r="AM35" i="8"/>
  <c r="AL35" i="8"/>
  <c r="AM26" i="8"/>
  <c r="AL26" i="8"/>
  <c r="AM25" i="8"/>
  <c r="AL25" i="8"/>
  <c r="AN23" i="8"/>
  <c r="AM23" i="8"/>
  <c r="AL23" i="8"/>
  <c r="AN22" i="8"/>
  <c r="AM22" i="8"/>
  <c r="AL22" i="8"/>
  <c r="AN21" i="8"/>
  <c r="AM21" i="8"/>
  <c r="AL21" i="8"/>
  <c r="AM20" i="8"/>
  <c r="AM18" i="8"/>
  <c r="AL18" i="8"/>
  <c r="AM16" i="8"/>
  <c r="AL16" i="8"/>
  <c r="AM15" i="8"/>
  <c r="AL15" i="8"/>
  <c r="AM14" i="8"/>
  <c r="AL14" i="8"/>
  <c r="AN12" i="8"/>
  <c r="AM12" i="8"/>
  <c r="AL12" i="8"/>
  <c r="AE8" i="8"/>
  <c r="AE7" i="8" s="1"/>
  <c r="AM10" i="8"/>
  <c r="AL10" i="8"/>
  <c r="AM9" i="8"/>
  <c r="AL9" i="8"/>
  <c r="AM8" i="8"/>
  <c r="AL8" i="8"/>
  <c r="AC132" i="8"/>
  <c r="AD132" i="8" s="1"/>
  <c r="AC42" i="8"/>
  <c r="AD42" i="8" s="1"/>
  <c r="AE42" i="8" s="1"/>
  <c r="AF42" i="8" s="1"/>
  <c r="AG42" i="8" s="1"/>
  <c r="AH42" i="8" s="1"/>
  <c r="AK38" i="8"/>
  <c r="AJ38" i="8"/>
  <c r="AI38" i="8"/>
  <c r="AG38" i="8"/>
  <c r="AF38" i="8"/>
  <c r="AD38" i="8"/>
  <c r="AC38" i="8"/>
  <c r="AH37" i="8"/>
  <c r="AE37" i="8"/>
  <c r="AH36" i="8"/>
  <c r="AE36" i="8"/>
  <c r="AH35" i="8"/>
  <c r="AE35" i="8"/>
  <c r="AF33" i="8"/>
  <c r="AF40" i="8" s="1"/>
  <c r="AC33" i="8"/>
  <c r="AC40" i="8" s="1"/>
  <c r="AG27" i="8"/>
  <c r="AF27" i="8"/>
  <c r="AD27" i="8"/>
  <c r="AC27" i="8"/>
  <c r="AH26" i="8"/>
  <c r="AH25" i="8"/>
  <c r="AE25" i="8"/>
  <c r="AE27" i="8" s="1"/>
  <c r="AK24" i="8"/>
  <c r="AJ24" i="8"/>
  <c r="AI24" i="8"/>
  <c r="AG24" i="8"/>
  <c r="AF24" i="8"/>
  <c r="AD24" i="8"/>
  <c r="AH20" i="8"/>
  <c r="AC20" i="8"/>
  <c r="AC24" i="8" s="1"/>
  <c r="AJ19" i="8"/>
  <c r="AI19" i="8"/>
  <c r="AG19" i="8"/>
  <c r="AF19" i="8"/>
  <c r="AD19" i="8"/>
  <c r="AC19" i="8"/>
  <c r="AK18" i="8"/>
  <c r="AK19" i="8" s="1"/>
  <c r="AH18" i="8"/>
  <c r="AH19" i="8" s="1"/>
  <c r="AE18" i="8"/>
  <c r="AE19" i="8" s="1"/>
  <c r="AK17" i="8"/>
  <c r="AJ17" i="8"/>
  <c r="AI17" i="8"/>
  <c r="AG17" i="8"/>
  <c r="AF17" i="8"/>
  <c r="AD17" i="8"/>
  <c r="AC17" i="8"/>
  <c r="AH16" i="8"/>
  <c r="AE16" i="8"/>
  <c r="AH15" i="8"/>
  <c r="AE15" i="8"/>
  <c r="AE14" i="8"/>
  <c r="AN14" i="8" s="1"/>
  <c r="AG11" i="8"/>
  <c r="AF11" i="8"/>
  <c r="AE11" i="8"/>
  <c r="AD11" i="8"/>
  <c r="AC11" i="8"/>
  <c r="AH10" i="8"/>
  <c r="AN10" i="8" s="1"/>
  <c r="AH9" i="8"/>
  <c r="AN9" i="8" s="1"/>
  <c r="AH8" i="8"/>
  <c r="AK7" i="8"/>
  <c r="AK13" i="8" s="1"/>
  <c r="AJ7" i="8"/>
  <c r="AJ13" i="8" s="1"/>
  <c r="AI7" i="8"/>
  <c r="AI13" i="8" s="1"/>
  <c r="AG7" i="8"/>
  <c r="AF7" i="8"/>
  <c r="AD7" i="8"/>
  <c r="AC7" i="8"/>
  <c r="AX12" i="8" l="1"/>
  <c r="CA12" i="8"/>
  <c r="AW18" i="8"/>
  <c r="BZ18" i="8"/>
  <c r="AW25" i="8"/>
  <c r="BZ25" i="8"/>
  <c r="AN16" i="8"/>
  <c r="AW20" i="8"/>
  <c r="BZ20" i="8"/>
  <c r="AW23" i="8"/>
  <c r="BZ23" i="8"/>
  <c r="AV26" i="8"/>
  <c r="BY26" i="8"/>
  <c r="AN36" i="8"/>
  <c r="AE132" i="8"/>
  <c r="AW9" i="8"/>
  <c r="BZ9" i="8"/>
  <c r="AV12" i="8"/>
  <c r="BY12" i="8"/>
  <c r="AW14" i="8"/>
  <c r="BZ14" i="8"/>
  <c r="AW16" i="8"/>
  <c r="BZ16" i="8"/>
  <c r="AV21" i="8"/>
  <c r="BY21" i="8"/>
  <c r="AW22" i="8"/>
  <c r="BZ22" i="8"/>
  <c r="AX23" i="8"/>
  <c r="CA23" i="8"/>
  <c r="AW26" i="8"/>
  <c r="BZ26" i="8"/>
  <c r="AW36" i="8"/>
  <c r="BZ36" i="8"/>
  <c r="AW10" i="8"/>
  <c r="BZ10" i="8"/>
  <c r="AX21" i="8"/>
  <c r="CA21" i="8"/>
  <c r="AV23" i="8"/>
  <c r="BY23" i="8"/>
  <c r="AW35" i="8"/>
  <c r="BZ35" i="8"/>
  <c r="AW37" i="8"/>
  <c r="BZ37" i="8"/>
  <c r="AV9" i="8"/>
  <c r="BY9" i="8"/>
  <c r="AV14" i="8"/>
  <c r="BY14" i="8"/>
  <c r="AV16" i="8"/>
  <c r="BY16" i="8"/>
  <c r="AV22" i="8"/>
  <c r="BY22" i="8"/>
  <c r="AV36" i="8"/>
  <c r="BY36" i="8"/>
  <c r="AF13" i="8"/>
  <c r="AE38" i="8"/>
  <c r="AV10" i="8"/>
  <c r="BY10" i="8"/>
  <c r="AW12" i="8"/>
  <c r="BZ12" i="8"/>
  <c r="AV18" i="8"/>
  <c r="BY18" i="8"/>
  <c r="AW21" i="8"/>
  <c r="BZ21" i="8"/>
  <c r="AX22" i="8"/>
  <c r="CA22" i="8"/>
  <c r="AV25" i="8"/>
  <c r="BY25" i="8"/>
  <c r="AV35" i="8"/>
  <c r="BY35" i="8"/>
  <c r="AV37" i="8"/>
  <c r="BY37" i="8"/>
  <c r="AW15" i="8"/>
  <c r="BZ15" i="8"/>
  <c r="AV15" i="8"/>
  <c r="BY15" i="8"/>
  <c r="AW8" i="8"/>
  <c r="BZ8" i="8"/>
  <c r="AV8" i="8"/>
  <c r="BY8" i="8"/>
  <c r="AE13" i="8"/>
  <c r="AN25" i="8"/>
  <c r="AN35" i="8"/>
  <c r="AN37" i="8"/>
  <c r="AH27" i="8"/>
  <c r="AC13" i="8"/>
  <c r="AC29" i="8" s="1"/>
  <c r="AC127" i="8" s="1"/>
  <c r="AG13" i="8"/>
  <c r="AH7" i="8"/>
  <c r="AH17" i="8"/>
  <c r="AE20" i="8"/>
  <c r="AE24" i="8" s="1"/>
  <c r="AL20" i="8"/>
  <c r="AV20" i="8" s="1"/>
  <c r="AN26" i="8"/>
  <c r="AH24" i="8"/>
  <c r="AH38" i="8"/>
  <c r="AE17" i="8"/>
  <c r="AD13" i="8"/>
  <c r="AD29" i="8" s="1"/>
  <c r="AD127" i="8" s="1"/>
  <c r="AM24" i="8"/>
  <c r="BZ24" i="8" s="1"/>
  <c r="AN15" i="8"/>
  <c r="AN8" i="8"/>
  <c r="AK29" i="8"/>
  <c r="AK127" i="8" s="1"/>
  <c r="AI29" i="8"/>
  <c r="AI127" i="8" s="1"/>
  <c r="AN18" i="8"/>
  <c r="AG29" i="8"/>
  <c r="AG127" i="8" s="1"/>
  <c r="AF29" i="8"/>
  <c r="AF127" i="8" s="1"/>
  <c r="AJ29" i="8"/>
  <c r="AJ127" i="8" s="1"/>
  <c r="AH11" i="8"/>
  <c r="AH13" i="8" s="1"/>
  <c r="R24" i="8"/>
  <c r="Q24" i="8"/>
  <c r="S10" i="8"/>
  <c r="Y10" i="8" s="1"/>
  <c r="CA10" i="8" s="1"/>
  <c r="S9" i="8"/>
  <c r="S8" i="8"/>
  <c r="N20" i="8"/>
  <c r="O24" i="8"/>
  <c r="T24" i="8"/>
  <c r="U24" i="8"/>
  <c r="V24" i="8"/>
  <c r="F24" i="8"/>
  <c r="G24" i="8"/>
  <c r="H24" i="8"/>
  <c r="I24" i="8"/>
  <c r="J24" i="8"/>
  <c r="K24" i="8"/>
  <c r="L24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M20" i="8"/>
  <c r="M24" i="8" s="1"/>
  <c r="D24" i="8"/>
  <c r="E20" i="8"/>
  <c r="D17" i="8"/>
  <c r="F17" i="8"/>
  <c r="G17" i="8"/>
  <c r="H17" i="8"/>
  <c r="K17" i="8"/>
  <c r="L17" i="8"/>
  <c r="N17" i="8"/>
  <c r="O17" i="8"/>
  <c r="Q17" i="8"/>
  <c r="R17" i="8"/>
  <c r="T17" i="8"/>
  <c r="U17" i="8"/>
  <c r="V17" i="8"/>
  <c r="AL17" i="8"/>
  <c r="BY17" i="8" s="1"/>
  <c r="AM17" i="8"/>
  <c r="BZ17" i="8" s="1"/>
  <c r="C17" i="8"/>
  <c r="C11" i="8"/>
  <c r="AN11" i="8"/>
  <c r="CA11" i="8" s="1"/>
  <c r="D7" i="8"/>
  <c r="F7" i="8"/>
  <c r="G7" i="8"/>
  <c r="K7" i="8"/>
  <c r="K13" i="8" s="1"/>
  <c r="L7" i="8"/>
  <c r="L13" i="8" s="1"/>
  <c r="N7" i="8"/>
  <c r="O7" i="8"/>
  <c r="P7" i="8"/>
  <c r="Q7" i="8"/>
  <c r="R7" i="8"/>
  <c r="T7" i="8"/>
  <c r="T13" i="8" s="1"/>
  <c r="U7" i="8"/>
  <c r="U13" i="8" s="1"/>
  <c r="V7" i="8"/>
  <c r="V13" i="8" s="1"/>
  <c r="AL7" i="8"/>
  <c r="AM7" i="8"/>
  <c r="AN7" i="8"/>
  <c r="C7" i="8"/>
  <c r="E8" i="8"/>
  <c r="AX8" i="8" s="1"/>
  <c r="H8" i="8"/>
  <c r="I8" i="8"/>
  <c r="I7" i="8" s="1"/>
  <c r="J8" i="8"/>
  <c r="J7" i="8" s="1"/>
  <c r="M8" i="8"/>
  <c r="E9" i="8"/>
  <c r="AX9" i="8" s="1"/>
  <c r="H9" i="8"/>
  <c r="I9" i="8"/>
  <c r="J9" i="8"/>
  <c r="M9" i="8"/>
  <c r="E10" i="8"/>
  <c r="AX10" i="8" s="1"/>
  <c r="H10" i="8"/>
  <c r="I10" i="8"/>
  <c r="J10" i="8"/>
  <c r="M10" i="8"/>
  <c r="AW24" i="8" l="1"/>
  <c r="P20" i="8"/>
  <c r="P24" i="8" s="1"/>
  <c r="W20" i="8"/>
  <c r="CA7" i="8"/>
  <c r="P13" i="8"/>
  <c r="S7" i="8"/>
  <c r="Y8" i="8"/>
  <c r="Y7" i="8" s="1"/>
  <c r="Y13" i="8" s="1"/>
  <c r="CA8" i="8"/>
  <c r="AH29" i="8"/>
  <c r="AH127" i="8" s="1"/>
  <c r="Y9" i="8"/>
  <c r="CA9" i="8" s="1"/>
  <c r="AM13" i="8"/>
  <c r="BZ13" i="8" s="1"/>
  <c r="BZ7" i="8"/>
  <c r="AL13" i="8"/>
  <c r="BY13" i="8" s="1"/>
  <c r="BY7" i="8"/>
  <c r="O13" i="8"/>
  <c r="G13" i="8"/>
  <c r="S11" i="8"/>
  <c r="AE29" i="8"/>
  <c r="AE127" i="8" s="1"/>
  <c r="AL24" i="8"/>
  <c r="F13" i="8"/>
  <c r="AV17" i="8"/>
  <c r="AN20" i="8"/>
  <c r="AN24" i="8" s="1"/>
  <c r="AV7" i="8"/>
  <c r="AW17" i="8"/>
  <c r="E24" i="8"/>
  <c r="D13" i="8"/>
  <c r="AW7" i="8"/>
  <c r="Q13" i="8"/>
  <c r="AN13" i="8"/>
  <c r="S20" i="8"/>
  <c r="N24" i="8"/>
  <c r="N13" i="8"/>
  <c r="R13" i="8"/>
  <c r="I13" i="8"/>
  <c r="M7" i="8"/>
  <c r="M13" i="8" s="1"/>
  <c r="E7" i="8"/>
  <c r="AX7" i="8" s="1"/>
  <c r="H7" i="8"/>
  <c r="H13" i="8" s="1"/>
  <c r="J13" i="8"/>
  <c r="S13" i="8"/>
  <c r="C13" i="8"/>
  <c r="AV13" i="8" s="1"/>
  <c r="S24" i="8" l="1"/>
  <c r="Y20" i="8"/>
  <c r="BY20" i="8"/>
  <c r="W24" i="8"/>
  <c r="AW13" i="8"/>
  <c r="CA13" i="8"/>
  <c r="AX20" i="8"/>
  <c r="AX24" i="8"/>
  <c r="E13" i="8"/>
  <c r="AX13" i="8" s="1"/>
  <c r="F26" i="10"/>
  <c r="G25" i="10"/>
  <c r="G20" i="10"/>
  <c r="F20" i="10"/>
  <c r="M13" i="10"/>
  <c r="H20" i="10" s="1"/>
  <c r="L13" i="10"/>
  <c r="G26" i="10" s="1"/>
  <c r="K13" i="10"/>
  <c r="L12" i="10"/>
  <c r="G19" i="10" s="1"/>
  <c r="M18" i="10" s="1"/>
  <c r="K12" i="10"/>
  <c r="F25" i="10" s="1"/>
  <c r="L14" i="10"/>
  <c r="G14" i="10"/>
  <c r="F14" i="10"/>
  <c r="K14" i="10" s="1"/>
  <c r="H14" i="10"/>
  <c r="H13" i="10"/>
  <c r="H12" i="10"/>
  <c r="F8" i="10"/>
  <c r="E8" i="10"/>
  <c r="G6" i="10"/>
  <c r="G7" i="10"/>
  <c r="G5" i="10"/>
  <c r="M12" i="10" s="1"/>
  <c r="G8" i="10"/>
  <c r="F1048576" i="9"/>
  <c r="BF14" i="8"/>
  <c r="BE14" i="8"/>
  <c r="N132" i="8"/>
  <c r="O132" i="8" s="1"/>
  <c r="D38" i="8"/>
  <c r="F38" i="8"/>
  <c r="G38" i="8"/>
  <c r="H38" i="8"/>
  <c r="K38" i="8"/>
  <c r="L38" i="8"/>
  <c r="N38" i="8"/>
  <c r="O38" i="8"/>
  <c r="Q38" i="8"/>
  <c r="R38" i="8"/>
  <c r="T38" i="8"/>
  <c r="U38" i="8"/>
  <c r="V38" i="8"/>
  <c r="AL38" i="8"/>
  <c r="BY38" i="8" s="1"/>
  <c r="AM38" i="8"/>
  <c r="BZ38" i="8" s="1"/>
  <c r="C38" i="8"/>
  <c r="BA36" i="8"/>
  <c r="BB36" i="8"/>
  <c r="BA37" i="8"/>
  <c r="BB37" i="8"/>
  <c r="BB35" i="8"/>
  <c r="BA35" i="8"/>
  <c r="N19" i="8"/>
  <c r="O19" i="8"/>
  <c r="Q19" i="8"/>
  <c r="R19" i="8"/>
  <c r="T19" i="8"/>
  <c r="T29" i="8" s="1"/>
  <c r="T127" i="8" s="1"/>
  <c r="U19" i="8"/>
  <c r="U29" i="8" s="1"/>
  <c r="V18" i="8"/>
  <c r="P25" i="8"/>
  <c r="P27" i="8" s="1"/>
  <c r="M35" i="8"/>
  <c r="E42" i="8"/>
  <c r="E26" i="8"/>
  <c r="E25" i="8"/>
  <c r="AX25" i="8" s="1"/>
  <c r="D27" i="8"/>
  <c r="L27" i="8"/>
  <c r="C27" i="8"/>
  <c r="BB26" i="8"/>
  <c r="BA26" i="8"/>
  <c r="BB25" i="8"/>
  <c r="BA25" i="8"/>
  <c r="BA14" i="8"/>
  <c r="BB14" i="8"/>
  <c r="BB16" i="8"/>
  <c r="BF16" i="8" s="1"/>
  <c r="BA18" i="8"/>
  <c r="BE18" i="8" s="1"/>
  <c r="BB18" i="8"/>
  <c r="BF18" i="8" s="1"/>
  <c r="BF37" i="8"/>
  <c r="BE37" i="8"/>
  <c r="BF36" i="8"/>
  <c r="BE36" i="8"/>
  <c r="BF35" i="8"/>
  <c r="BE35" i="8"/>
  <c r="BF26" i="8"/>
  <c r="BE26" i="8"/>
  <c r="BF25" i="8"/>
  <c r="BE25" i="8"/>
  <c r="BA33" i="8"/>
  <c r="BA40" i="8" s="1"/>
  <c r="P37" i="8"/>
  <c r="P36" i="8"/>
  <c r="P35" i="8"/>
  <c r="M36" i="8"/>
  <c r="M37" i="8"/>
  <c r="BG37" i="8" s="1"/>
  <c r="S37" i="8"/>
  <c r="S36" i="8"/>
  <c r="S35" i="8"/>
  <c r="Y35" i="8" s="1"/>
  <c r="S26" i="8"/>
  <c r="S25" i="8"/>
  <c r="S18" i="8"/>
  <c r="S19" i="8" s="1"/>
  <c r="S16" i="8"/>
  <c r="Y16" i="8" s="1"/>
  <c r="CA16" i="8" s="1"/>
  <c r="S15" i="8"/>
  <c r="N33" i="8"/>
  <c r="N40" i="8" s="1"/>
  <c r="Q33" i="8"/>
  <c r="Q40" i="8" s="1"/>
  <c r="K33" i="8"/>
  <c r="K40" i="8" s="1"/>
  <c r="P16" i="8"/>
  <c r="P18" i="8"/>
  <c r="P19" i="8" s="1"/>
  <c r="P15" i="8"/>
  <c r="P14" i="8"/>
  <c r="Y14" i="8" s="1"/>
  <c r="N27" i="8"/>
  <c r="O27" i="8"/>
  <c r="F27" i="8"/>
  <c r="F29" i="8" s="1"/>
  <c r="G27" i="8"/>
  <c r="G29" i="8" s="1"/>
  <c r="H27" i="8"/>
  <c r="H29" i="8" s="1"/>
  <c r="I26" i="8"/>
  <c r="I25" i="8"/>
  <c r="J26" i="8"/>
  <c r="J25" i="8"/>
  <c r="K27" i="8"/>
  <c r="M27" i="8"/>
  <c r="Q27" i="8"/>
  <c r="R27" i="8"/>
  <c r="E37" i="8"/>
  <c r="AX37" i="8" s="1"/>
  <c r="E36" i="8"/>
  <c r="AX36" i="8" s="1"/>
  <c r="E35" i="8"/>
  <c r="AX35" i="8" s="1"/>
  <c r="AL19" i="8"/>
  <c r="BY19" i="8" s="1"/>
  <c r="BA15" i="8"/>
  <c r="BE15" i="8" s="1"/>
  <c r="C33" i="8"/>
  <c r="C40" i="8" s="1"/>
  <c r="BE33" i="8"/>
  <c r="BE40" i="8" s="1"/>
  <c r="C24" i="8"/>
  <c r="AV24" i="8" s="1"/>
  <c r="C19" i="8"/>
  <c r="AM27" i="8"/>
  <c r="BZ27" i="8" s="1"/>
  <c r="AL27" i="8"/>
  <c r="BY27" i="8" s="1"/>
  <c r="I15" i="8"/>
  <c r="I16" i="8"/>
  <c r="J15" i="8"/>
  <c r="J16" i="8"/>
  <c r="BB42" i="8"/>
  <c r="BA42" i="8"/>
  <c r="AO24" i="8"/>
  <c r="AO29" i="8" s="1"/>
  <c r="AO127" i="8" s="1"/>
  <c r="AP24" i="8"/>
  <c r="AP29" i="8" s="1"/>
  <c r="AQ24" i="8"/>
  <c r="AQ29" i="8" s="1"/>
  <c r="AR24" i="8"/>
  <c r="AR29" i="8" s="1"/>
  <c r="AS24" i="8"/>
  <c r="AS29" i="8" s="1"/>
  <c r="AT24" i="8"/>
  <c r="AT29" i="8" s="1"/>
  <c r="J121" i="8"/>
  <c r="I121" i="8"/>
  <c r="J120" i="8"/>
  <c r="I120" i="8"/>
  <c r="J119" i="8"/>
  <c r="J118" i="8"/>
  <c r="C118" i="8"/>
  <c r="I118" i="8" s="1"/>
  <c r="J117" i="8"/>
  <c r="I117" i="8"/>
  <c r="J116" i="8"/>
  <c r="I116" i="8"/>
  <c r="J115" i="8"/>
  <c r="I115" i="8"/>
  <c r="D111" i="8"/>
  <c r="C111" i="8"/>
  <c r="I111" i="8" s="1"/>
  <c r="J110" i="8"/>
  <c r="I110" i="8"/>
  <c r="J109" i="8"/>
  <c r="I109" i="8"/>
  <c r="D108" i="8"/>
  <c r="C108" i="8"/>
  <c r="I108" i="8" s="1"/>
  <c r="D107" i="8"/>
  <c r="C107" i="8"/>
  <c r="C113" i="8" s="1"/>
  <c r="I113" i="8" s="1"/>
  <c r="D106" i="8"/>
  <c r="J106" i="8" s="1"/>
  <c r="C106" i="8"/>
  <c r="I106" i="8" s="1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AL90" i="8"/>
  <c r="BY90" i="8" s="1"/>
  <c r="J90" i="8"/>
  <c r="AL89" i="8"/>
  <c r="BY89" i="8" s="1"/>
  <c r="J89" i="8"/>
  <c r="C89" i="8"/>
  <c r="I89" i="8" s="1"/>
  <c r="AL88" i="8"/>
  <c r="BY88" i="8" s="1"/>
  <c r="J88" i="8"/>
  <c r="I88" i="8"/>
  <c r="AL87" i="8"/>
  <c r="BY87" i="8" s="1"/>
  <c r="J87" i="8"/>
  <c r="I87" i="8"/>
  <c r="AL86" i="8"/>
  <c r="BY86" i="8" s="1"/>
  <c r="J86" i="8"/>
  <c r="I86" i="8"/>
  <c r="D82" i="8"/>
  <c r="J82" i="8" s="1"/>
  <c r="C82" i="8"/>
  <c r="I82" i="8" s="1"/>
  <c r="J81" i="8"/>
  <c r="I81" i="8"/>
  <c r="J80" i="8"/>
  <c r="I80" i="8"/>
  <c r="D79" i="8"/>
  <c r="J79" i="8" s="1"/>
  <c r="C79" i="8"/>
  <c r="I79" i="8" s="1"/>
  <c r="D78" i="8"/>
  <c r="J78" i="8" s="1"/>
  <c r="C78" i="8"/>
  <c r="C84" i="8" s="1"/>
  <c r="I84" i="8" s="1"/>
  <c r="D77" i="8"/>
  <c r="C77" i="8"/>
  <c r="I77" i="8" s="1"/>
  <c r="J76" i="8"/>
  <c r="I76" i="8"/>
  <c r="J75" i="8"/>
  <c r="I75" i="8"/>
  <c r="AM74" i="8"/>
  <c r="BZ74" i="8" s="1"/>
  <c r="AL74" i="8"/>
  <c r="BY74" i="8" s="1"/>
  <c r="J74" i="8"/>
  <c r="I74" i="8"/>
  <c r="AM73" i="8"/>
  <c r="BZ73" i="8" s="1"/>
  <c r="AL73" i="8"/>
  <c r="BY73" i="8" s="1"/>
  <c r="J73" i="8"/>
  <c r="I73" i="8"/>
  <c r="AM72" i="8"/>
  <c r="BZ72" i="8" s="1"/>
  <c r="AL72" i="8"/>
  <c r="BY72" i="8" s="1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I56" i="8"/>
  <c r="I55" i="8"/>
  <c r="I54" i="8"/>
  <c r="I53" i="8"/>
  <c r="I52" i="8"/>
  <c r="E52" i="8"/>
  <c r="D52" i="8"/>
  <c r="J52" i="8" s="1"/>
  <c r="I51" i="8"/>
  <c r="E51" i="8"/>
  <c r="D51" i="8"/>
  <c r="J51" i="8" s="1"/>
  <c r="J55" i="8"/>
  <c r="I50" i="8"/>
  <c r="E50" i="8"/>
  <c r="D50" i="8"/>
  <c r="J50" i="8" s="1"/>
  <c r="L49" i="8"/>
  <c r="I49" i="8"/>
  <c r="E49" i="8"/>
  <c r="D49" i="8"/>
  <c r="J49" i="8" s="1"/>
  <c r="I48" i="8"/>
  <c r="E48" i="8"/>
  <c r="D48" i="8"/>
  <c r="J48" i="8" s="1"/>
  <c r="J47" i="8"/>
  <c r="I47" i="8"/>
  <c r="J46" i="8"/>
  <c r="I46" i="8"/>
  <c r="J45" i="8"/>
  <c r="I45" i="8"/>
  <c r="J44" i="8"/>
  <c r="I44" i="8"/>
  <c r="AN42" i="8"/>
  <c r="CA42" i="8" s="1"/>
  <c r="M42" i="8"/>
  <c r="N42" i="8" s="1"/>
  <c r="J42" i="8"/>
  <c r="I42" i="8"/>
  <c r="J39" i="8"/>
  <c r="I39" i="8"/>
  <c r="J35" i="8"/>
  <c r="J38" i="8" s="1"/>
  <c r="AV33" i="8"/>
  <c r="AV40" i="8" s="1"/>
  <c r="J32" i="8"/>
  <c r="I32" i="8"/>
  <c r="J31" i="8"/>
  <c r="I31" i="8"/>
  <c r="J30" i="8"/>
  <c r="I30" i="8"/>
  <c r="AM19" i="8"/>
  <c r="D19" i="8"/>
  <c r="I18" i="8"/>
  <c r="E18" i="8"/>
  <c r="M16" i="8"/>
  <c r="AN74" i="8"/>
  <c r="CA74" i="8" s="1"/>
  <c r="E15" i="8"/>
  <c r="AX15" i="8" s="1"/>
  <c r="BQ14" i="8"/>
  <c r="BN14" i="8"/>
  <c r="J14" i="8"/>
  <c r="J17" i="8" s="1"/>
  <c r="I14" i="8"/>
  <c r="I17" i="8" s="1"/>
  <c r="E14" i="8"/>
  <c r="AX14" i="8" s="1"/>
  <c r="BQ13" i="8"/>
  <c r="BN13" i="8"/>
  <c r="BQ11" i="8"/>
  <c r="BN11" i="8"/>
  <c r="E16" i="8"/>
  <c r="AX16" i="8" s="1"/>
  <c r="AN73" i="8"/>
  <c r="CA73" i="8" s="1"/>
  <c r="AL70" i="8"/>
  <c r="J56" i="8"/>
  <c r="M14" i="8"/>
  <c r="K19" i="8"/>
  <c r="AN72" i="8"/>
  <c r="CA72" i="8" s="1"/>
  <c r="J18" i="8"/>
  <c r="AM70" i="8"/>
  <c r="AM71" i="8"/>
  <c r="BZ71" i="8" s="1"/>
  <c r="L19" i="8"/>
  <c r="AL71" i="8"/>
  <c r="BY71" i="8" s="1"/>
  <c r="BK40" i="8"/>
  <c r="I35" i="8"/>
  <c r="I38" i="8" s="1"/>
  <c r="J77" i="8"/>
  <c r="I107" i="8"/>
  <c r="J108" i="8"/>
  <c r="M19" i="8"/>
  <c r="AN71" i="8"/>
  <c r="CA71" i="8" s="1"/>
  <c r="AN70" i="8"/>
  <c r="J54" i="8"/>
  <c r="O8" i="4"/>
  <c r="AK8" i="4" s="1"/>
  <c r="N8" i="4"/>
  <c r="O12" i="4"/>
  <c r="AK12" i="4"/>
  <c r="N12" i="4"/>
  <c r="O57" i="4"/>
  <c r="AK57" i="4" s="1"/>
  <c r="O49" i="4"/>
  <c r="AK49" i="4" s="1"/>
  <c r="N33" i="4"/>
  <c r="AF74" i="4"/>
  <c r="AG74" i="4"/>
  <c r="AJ74" i="4"/>
  <c r="AK74" i="4"/>
  <c r="AA74" i="4"/>
  <c r="AB74" i="4"/>
  <c r="P74" i="4"/>
  <c r="K74" i="4"/>
  <c r="J70" i="4"/>
  <c r="AF70" i="4" s="1"/>
  <c r="O70" i="4"/>
  <c r="Z13" i="4"/>
  <c r="Z14" i="4"/>
  <c r="Z16" i="4"/>
  <c r="H13" i="4"/>
  <c r="H14" i="4"/>
  <c r="H12" i="4"/>
  <c r="G15" i="4"/>
  <c r="G20" i="4" s="1"/>
  <c r="G63" i="4" s="1"/>
  <c r="F15" i="4"/>
  <c r="F20" i="4" s="1"/>
  <c r="F63" i="4" s="1"/>
  <c r="G11" i="4"/>
  <c r="F11" i="4"/>
  <c r="H10" i="4"/>
  <c r="H9" i="4"/>
  <c r="H8" i="4"/>
  <c r="H15" i="4"/>
  <c r="N72" i="4"/>
  <c r="O21" i="4"/>
  <c r="N21" i="4"/>
  <c r="AJ21" i="4" s="1"/>
  <c r="Z8" i="4"/>
  <c r="AA12" i="4"/>
  <c r="AA71" i="4"/>
  <c r="AF71" i="4"/>
  <c r="I72" i="4"/>
  <c r="J73" i="4"/>
  <c r="I71" i="4"/>
  <c r="J57" i="4"/>
  <c r="J49" i="4"/>
  <c r="AK79" i="4"/>
  <c r="AJ79" i="4"/>
  <c r="U164" i="4"/>
  <c r="T79" i="4"/>
  <c r="P79" i="4"/>
  <c r="M79" i="4"/>
  <c r="E79" i="4"/>
  <c r="K79" i="4"/>
  <c r="AL79" i="4"/>
  <c r="L79" i="4"/>
  <c r="AM8" i="4"/>
  <c r="D75" i="4"/>
  <c r="C75" i="4"/>
  <c r="S75" i="4"/>
  <c r="R75" i="4"/>
  <c r="T70" i="4"/>
  <c r="T71" i="4"/>
  <c r="T72" i="4"/>
  <c r="T73" i="4"/>
  <c r="AJ70" i="4"/>
  <c r="AK71" i="4"/>
  <c r="AK72" i="4"/>
  <c r="AJ73" i="4"/>
  <c r="E70" i="4"/>
  <c r="E71" i="4"/>
  <c r="E72" i="4"/>
  <c r="E73" i="4"/>
  <c r="O69" i="4"/>
  <c r="AK69" i="4" s="1"/>
  <c r="P70" i="4"/>
  <c r="O73" i="4"/>
  <c r="K70" i="4"/>
  <c r="AG70" i="4"/>
  <c r="K71" i="4"/>
  <c r="O46" i="4"/>
  <c r="N69" i="4"/>
  <c r="N75" i="4" s="1"/>
  <c r="P72" i="4"/>
  <c r="AJ9" i="4"/>
  <c r="AK9" i="4"/>
  <c r="AJ10" i="4"/>
  <c r="AK10" i="4"/>
  <c r="AJ13" i="4"/>
  <c r="AK13" i="4"/>
  <c r="AJ14" i="4"/>
  <c r="AK14" i="4"/>
  <c r="AJ17" i="4"/>
  <c r="AK17" i="4"/>
  <c r="AJ18" i="4"/>
  <c r="AK18" i="4"/>
  <c r="AK21" i="4"/>
  <c r="AJ22" i="4"/>
  <c r="AK22" i="4"/>
  <c r="AJ23" i="4"/>
  <c r="AK23" i="4"/>
  <c r="AJ24" i="4"/>
  <c r="AK24" i="4"/>
  <c r="AJ27" i="4"/>
  <c r="AK27" i="4"/>
  <c r="AJ28" i="4"/>
  <c r="AK28" i="4"/>
  <c r="AJ29" i="4"/>
  <c r="AK29" i="4"/>
  <c r="AJ30" i="4"/>
  <c r="AK30" i="4"/>
  <c r="AJ31" i="4"/>
  <c r="AK31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J42" i="4"/>
  <c r="AK42" i="4"/>
  <c r="AJ43" i="4"/>
  <c r="AK43" i="4"/>
  <c r="AJ44" i="4"/>
  <c r="AK44" i="4"/>
  <c r="AJ47" i="4"/>
  <c r="AK47" i="4"/>
  <c r="AJ51" i="4"/>
  <c r="AK51" i="4"/>
  <c r="AK53" i="4"/>
  <c r="AK54" i="4"/>
  <c r="AJ55" i="4"/>
  <c r="AK55" i="4"/>
  <c r="AJ59" i="4"/>
  <c r="AK59" i="4"/>
  <c r="AJ62" i="4"/>
  <c r="AK62" i="4"/>
  <c r="AL62" i="4"/>
  <c r="AJ8" i="4"/>
  <c r="J58" i="4"/>
  <c r="M58" i="4" s="1"/>
  <c r="AK58" i="4"/>
  <c r="J50" i="4"/>
  <c r="AK50" i="4"/>
  <c r="J46" i="4"/>
  <c r="AK46" i="4"/>
  <c r="AJ72" i="4"/>
  <c r="K72" i="4"/>
  <c r="AL72" i="4" s="1"/>
  <c r="C52" i="4"/>
  <c r="AB72" i="4"/>
  <c r="D62" i="4"/>
  <c r="M62" i="4" s="1"/>
  <c r="C62" i="4"/>
  <c r="Z51" i="4"/>
  <c r="AQ9" i="4"/>
  <c r="AP9" i="4"/>
  <c r="N71" i="4"/>
  <c r="P71" i="4"/>
  <c r="AB71" i="4" s="1"/>
  <c r="Z51" i="5"/>
  <c r="Q23" i="5"/>
  <c r="O33" i="5"/>
  <c r="E50" i="5"/>
  <c r="Q53" i="5"/>
  <c r="Q52" i="5"/>
  <c r="Q51" i="5"/>
  <c r="W32" i="5"/>
  <c r="R44" i="5"/>
  <c r="W33" i="5"/>
  <c r="W29" i="5"/>
  <c r="Q44" i="5" s="1"/>
  <c r="V27" i="5"/>
  <c r="H53" i="5"/>
  <c r="H51" i="5"/>
  <c r="H41" i="5"/>
  <c r="H37" i="5"/>
  <c r="H49" i="5"/>
  <c r="H50" i="5"/>
  <c r="H52" i="5"/>
  <c r="H54" i="5"/>
  <c r="E49" i="5"/>
  <c r="E51" i="5"/>
  <c r="E53" i="5"/>
  <c r="E33" i="5"/>
  <c r="E34" i="5"/>
  <c r="E35" i="5"/>
  <c r="E37" i="5"/>
  <c r="H34" i="5"/>
  <c r="H35" i="5"/>
  <c r="H36" i="5"/>
  <c r="H38" i="5"/>
  <c r="H42" i="5"/>
  <c r="H43" i="5"/>
  <c r="H44" i="5"/>
  <c r="H47" i="5" s="1"/>
  <c r="H45" i="5"/>
  <c r="H46" i="5"/>
  <c r="H33" i="5"/>
  <c r="V21" i="5"/>
  <c r="O34" i="5"/>
  <c r="O35" i="5"/>
  <c r="O36" i="5"/>
  <c r="O37" i="5"/>
  <c r="N38" i="5"/>
  <c r="G55" i="5"/>
  <c r="H48" i="5"/>
  <c r="G47" i="5"/>
  <c r="F47" i="5"/>
  <c r="H40" i="5"/>
  <c r="G39" i="5"/>
  <c r="G56" i="5" s="1"/>
  <c r="F39" i="5"/>
  <c r="H32" i="5"/>
  <c r="H24" i="5"/>
  <c r="H23" i="5"/>
  <c r="H22" i="5"/>
  <c r="H21" i="5"/>
  <c r="F20" i="5"/>
  <c r="H20" i="5"/>
  <c r="G19" i="5"/>
  <c r="G25" i="5"/>
  <c r="G26" i="5" s="1"/>
  <c r="F19" i="5"/>
  <c r="F25" i="5" s="1"/>
  <c r="G18" i="5"/>
  <c r="H17" i="5"/>
  <c r="H16" i="5"/>
  <c r="H15" i="5"/>
  <c r="H14" i="5"/>
  <c r="F13" i="5"/>
  <c r="H13" i="5"/>
  <c r="F12" i="5"/>
  <c r="F18" i="5" s="1"/>
  <c r="H12" i="5"/>
  <c r="H18" i="5" s="1"/>
  <c r="H10" i="5"/>
  <c r="H9" i="5"/>
  <c r="H8" i="5"/>
  <c r="H7" i="5"/>
  <c r="F6" i="5"/>
  <c r="H6" i="5"/>
  <c r="G5" i="5"/>
  <c r="F5" i="5"/>
  <c r="L40" i="5"/>
  <c r="L34" i="5"/>
  <c r="L36" i="5"/>
  <c r="L37" i="5"/>
  <c r="L33" i="5"/>
  <c r="J55" i="5"/>
  <c r="J47" i="5"/>
  <c r="E45" i="5"/>
  <c r="E41" i="5"/>
  <c r="L24" i="5"/>
  <c r="J39" i="5"/>
  <c r="E32" i="5"/>
  <c r="E48" i="5"/>
  <c r="E40" i="5"/>
  <c r="D25" i="5"/>
  <c r="C25" i="5"/>
  <c r="E24" i="5"/>
  <c r="E23" i="5"/>
  <c r="E22" i="5"/>
  <c r="E21" i="5"/>
  <c r="E20" i="5"/>
  <c r="E19" i="5"/>
  <c r="E25" i="5" s="1"/>
  <c r="D18" i="5"/>
  <c r="C18" i="5"/>
  <c r="E17" i="5"/>
  <c r="E16" i="5"/>
  <c r="E15" i="5"/>
  <c r="E14" i="5"/>
  <c r="E13" i="5"/>
  <c r="E12" i="5"/>
  <c r="E18" i="5" s="1"/>
  <c r="D11" i="5"/>
  <c r="C11" i="5"/>
  <c r="E10" i="5"/>
  <c r="E9" i="5"/>
  <c r="E8" i="5"/>
  <c r="E7" i="5"/>
  <c r="E6" i="5"/>
  <c r="E5" i="5"/>
  <c r="F55" i="5"/>
  <c r="F56" i="5"/>
  <c r="F11" i="5"/>
  <c r="G11" i="5"/>
  <c r="H39" i="5"/>
  <c r="H19" i="5"/>
  <c r="H25" i="5" s="1"/>
  <c r="D26" i="5"/>
  <c r="E11" i="5"/>
  <c r="Z52" i="5"/>
  <c r="D46" i="5" s="1"/>
  <c r="D47" i="5" s="1"/>
  <c r="D38" i="5"/>
  <c r="D36" i="5"/>
  <c r="D39" i="5" s="1"/>
  <c r="E36" i="5"/>
  <c r="N49" i="4"/>
  <c r="N52" i="4" s="1"/>
  <c r="R127" i="4"/>
  <c r="R126" i="4"/>
  <c r="R125" i="4"/>
  <c r="R124" i="4"/>
  <c r="R123" i="4"/>
  <c r="S111" i="4"/>
  <c r="R111" i="4"/>
  <c r="S110" i="4"/>
  <c r="R110" i="4"/>
  <c r="S109" i="4"/>
  <c r="R109" i="4"/>
  <c r="AG72" i="4"/>
  <c r="T69" i="4"/>
  <c r="T59" i="4"/>
  <c r="T57" i="4"/>
  <c r="S56" i="4"/>
  <c r="T55" i="4"/>
  <c r="T53" i="4"/>
  <c r="T56" i="4" s="1"/>
  <c r="T51" i="4"/>
  <c r="T110" i="4" s="1"/>
  <c r="T49" i="4"/>
  <c r="T46" i="4"/>
  <c r="S45" i="4"/>
  <c r="T44" i="4"/>
  <c r="T43" i="4"/>
  <c r="T42" i="4"/>
  <c r="T41" i="4"/>
  <c r="T40" i="4"/>
  <c r="T39" i="4"/>
  <c r="T38" i="4"/>
  <c r="T37" i="4"/>
  <c r="T36" i="4"/>
  <c r="R35" i="4"/>
  <c r="T33" i="4"/>
  <c r="T31" i="4"/>
  <c r="T111" i="4" s="1"/>
  <c r="T30" i="4"/>
  <c r="AG30" i="4" s="1"/>
  <c r="T29" i="4"/>
  <c r="S28" i="4"/>
  <c r="R28" i="4"/>
  <c r="S27" i="4"/>
  <c r="R27" i="4"/>
  <c r="T26" i="4"/>
  <c r="T24" i="4"/>
  <c r="S23" i="4"/>
  <c r="R23" i="4"/>
  <c r="T21" i="4"/>
  <c r="T18" i="4"/>
  <c r="T16" i="4"/>
  <c r="AG16" i="4" s="1"/>
  <c r="T14" i="4"/>
  <c r="T12" i="4"/>
  <c r="T10" i="4"/>
  <c r="T8" i="4"/>
  <c r="AG8" i="4" s="1"/>
  <c r="R108" i="4"/>
  <c r="R32" i="4"/>
  <c r="T28" i="4"/>
  <c r="AG28" i="4" s="1"/>
  <c r="S32" i="4"/>
  <c r="AF32" i="4" s="1"/>
  <c r="AA50" i="4"/>
  <c r="N58" i="4"/>
  <c r="N54" i="4"/>
  <c r="N50" i="4"/>
  <c r="AR20" i="4"/>
  <c r="R50" i="4"/>
  <c r="AR21" i="4"/>
  <c r="R54" i="4" s="1"/>
  <c r="R56" i="4" s="1"/>
  <c r="AR19" i="4"/>
  <c r="R47" i="4" s="1"/>
  <c r="R48" i="4"/>
  <c r="AE48" i="4" s="1"/>
  <c r="T54" i="4"/>
  <c r="AG54" i="4" s="1"/>
  <c r="N46" i="4"/>
  <c r="AJ46" i="4"/>
  <c r="N53" i="4"/>
  <c r="Z72" i="4"/>
  <c r="AE51" i="4"/>
  <c r="N57" i="4"/>
  <c r="L9" i="4"/>
  <c r="M9" i="4"/>
  <c r="L10" i="4"/>
  <c r="M10" i="4"/>
  <c r="L12" i="4"/>
  <c r="M12" i="4"/>
  <c r="L13" i="4"/>
  <c r="M13" i="4"/>
  <c r="L14" i="4"/>
  <c r="M14" i="4"/>
  <c r="L16" i="4"/>
  <c r="M16" i="4"/>
  <c r="L17" i="4"/>
  <c r="M17" i="4"/>
  <c r="L18" i="4"/>
  <c r="M18" i="4"/>
  <c r="L21" i="4"/>
  <c r="M21" i="4"/>
  <c r="L22" i="4"/>
  <c r="M22" i="4"/>
  <c r="L23" i="4"/>
  <c r="M23" i="4"/>
  <c r="L24" i="4"/>
  <c r="M24" i="4"/>
  <c r="L26" i="4"/>
  <c r="M26" i="4"/>
  <c r="L27" i="4"/>
  <c r="M27" i="4"/>
  <c r="L28" i="4"/>
  <c r="M28" i="4"/>
  <c r="L29" i="4"/>
  <c r="M29" i="4"/>
  <c r="L30" i="4"/>
  <c r="M30" i="4"/>
  <c r="L31" i="4"/>
  <c r="M31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6" i="4"/>
  <c r="L47" i="4"/>
  <c r="M47" i="4"/>
  <c r="M50" i="4"/>
  <c r="L51" i="4"/>
  <c r="M51" i="4"/>
  <c r="M53" i="4"/>
  <c r="M54" i="4"/>
  <c r="L55" i="4"/>
  <c r="M55" i="4"/>
  <c r="L59" i="4"/>
  <c r="M59" i="4"/>
  <c r="L62" i="4"/>
  <c r="L64" i="4"/>
  <c r="M64" i="4"/>
  <c r="L65" i="4"/>
  <c r="M65" i="4"/>
  <c r="L66" i="4"/>
  <c r="M66" i="4"/>
  <c r="M69" i="4"/>
  <c r="M71" i="4"/>
  <c r="M72" i="4"/>
  <c r="L76" i="4"/>
  <c r="M76" i="4"/>
  <c r="L81" i="4"/>
  <c r="M81" i="4"/>
  <c r="L82" i="4"/>
  <c r="M82" i="4"/>
  <c r="L83" i="4"/>
  <c r="M83" i="4"/>
  <c r="L84" i="4"/>
  <c r="M84" i="4"/>
  <c r="L85" i="4"/>
  <c r="L86" i="4"/>
  <c r="L87" i="4"/>
  <c r="L88" i="4"/>
  <c r="L89" i="4"/>
  <c r="L90" i="4"/>
  <c r="L91" i="4"/>
  <c r="L92" i="4"/>
  <c r="L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7" i="4"/>
  <c r="M117" i="4"/>
  <c r="L118" i="4"/>
  <c r="M118" i="4"/>
  <c r="L123" i="4"/>
  <c r="M123" i="4"/>
  <c r="L124" i="4"/>
  <c r="M124" i="4"/>
  <c r="L125" i="4"/>
  <c r="M125" i="4"/>
  <c r="M126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6" i="4"/>
  <c r="M146" i="4"/>
  <c r="L147" i="4"/>
  <c r="M147" i="4"/>
  <c r="L152" i="4"/>
  <c r="M152" i="4"/>
  <c r="L153" i="4"/>
  <c r="M153" i="4"/>
  <c r="L154" i="4"/>
  <c r="M154" i="4"/>
  <c r="M155" i="4"/>
  <c r="M156" i="4"/>
  <c r="L157" i="4"/>
  <c r="M157" i="4"/>
  <c r="L158" i="4"/>
  <c r="M158" i="4"/>
  <c r="M8" i="4"/>
  <c r="L8" i="4"/>
  <c r="AB158" i="4"/>
  <c r="AA158" i="4"/>
  <c r="Z158" i="4"/>
  <c r="AB157" i="4"/>
  <c r="AA157" i="4"/>
  <c r="Z157" i="4"/>
  <c r="AB156" i="4"/>
  <c r="AA156" i="4"/>
  <c r="Z156" i="4"/>
  <c r="AB155" i="4"/>
  <c r="AA155" i="4"/>
  <c r="Z155" i="4"/>
  <c r="C155" i="4"/>
  <c r="AB154" i="4"/>
  <c r="AA154" i="4"/>
  <c r="Z154" i="4"/>
  <c r="AB153" i="4"/>
  <c r="AA153" i="4"/>
  <c r="Z153" i="4"/>
  <c r="AB152" i="4"/>
  <c r="AA152" i="4"/>
  <c r="Z152" i="4"/>
  <c r="AB151" i="4"/>
  <c r="AB150" i="4"/>
  <c r="AB149" i="4"/>
  <c r="AB148" i="4"/>
  <c r="J148" i="4"/>
  <c r="I148" i="4"/>
  <c r="Z148" i="4"/>
  <c r="D148" i="4"/>
  <c r="C148" i="4"/>
  <c r="AB147" i="4"/>
  <c r="AA147" i="4"/>
  <c r="Z147" i="4"/>
  <c r="AB146" i="4"/>
  <c r="AA146" i="4"/>
  <c r="Z146" i="4"/>
  <c r="AB145" i="4"/>
  <c r="AA145" i="4"/>
  <c r="Z145" i="4"/>
  <c r="D145" i="4"/>
  <c r="D151" i="4" s="1"/>
  <c r="C145" i="4"/>
  <c r="AB144" i="4"/>
  <c r="AA144" i="4"/>
  <c r="Z144" i="4"/>
  <c r="D144" i="4"/>
  <c r="C144" i="4"/>
  <c r="AB143" i="4"/>
  <c r="AA143" i="4"/>
  <c r="Z143" i="4"/>
  <c r="D143" i="4"/>
  <c r="M143" i="4"/>
  <c r="C143" i="4"/>
  <c r="L143" i="4"/>
  <c r="AB142" i="4"/>
  <c r="AA142" i="4"/>
  <c r="Z142" i="4"/>
  <c r="AB141" i="4"/>
  <c r="AA141" i="4"/>
  <c r="Z141" i="4"/>
  <c r="AB140" i="4"/>
  <c r="AA140" i="4"/>
  <c r="Z140" i="4"/>
  <c r="AB139" i="4"/>
  <c r="AA139" i="4"/>
  <c r="Z139" i="4"/>
  <c r="AB138" i="4"/>
  <c r="AA138" i="4"/>
  <c r="Z138" i="4"/>
  <c r="AB137" i="4"/>
  <c r="AA137" i="4"/>
  <c r="Z137" i="4"/>
  <c r="AB136" i="4"/>
  <c r="AA136" i="4"/>
  <c r="Z136" i="4"/>
  <c r="AB135" i="4"/>
  <c r="AA135" i="4"/>
  <c r="Z135" i="4"/>
  <c r="AB134" i="4"/>
  <c r="AA134" i="4"/>
  <c r="Z134" i="4"/>
  <c r="AB133" i="4"/>
  <c r="AA133" i="4"/>
  <c r="Z133" i="4"/>
  <c r="AB132" i="4"/>
  <c r="AA132" i="4"/>
  <c r="Z132" i="4"/>
  <c r="AB131" i="4"/>
  <c r="AA131" i="4"/>
  <c r="Z131" i="4"/>
  <c r="AB130" i="4"/>
  <c r="AA130" i="4"/>
  <c r="Z130" i="4"/>
  <c r="AB129" i="4"/>
  <c r="AA129" i="4"/>
  <c r="Z129" i="4"/>
  <c r="AB128" i="4"/>
  <c r="AA128" i="4"/>
  <c r="Z128" i="4"/>
  <c r="AB127" i="4"/>
  <c r="AA127" i="4"/>
  <c r="Z127" i="4"/>
  <c r="AB126" i="4"/>
  <c r="AA126" i="4"/>
  <c r="Z126" i="4"/>
  <c r="C126" i="4"/>
  <c r="L126" i="4"/>
  <c r="AB125" i="4"/>
  <c r="AA125" i="4"/>
  <c r="Z125" i="4"/>
  <c r="AB124" i="4"/>
  <c r="AA124" i="4"/>
  <c r="Z124" i="4"/>
  <c r="AB123" i="4"/>
  <c r="AA123" i="4"/>
  <c r="Z123" i="4"/>
  <c r="AB122" i="4"/>
  <c r="AB121" i="4"/>
  <c r="AB120" i="4"/>
  <c r="AB119" i="4"/>
  <c r="J119" i="4"/>
  <c r="I119" i="4"/>
  <c r="Z119" i="4"/>
  <c r="D119" i="4"/>
  <c r="D120" i="4" s="1"/>
  <c r="M120" i="4" s="1"/>
  <c r="C119" i="4"/>
  <c r="AB118" i="4"/>
  <c r="AA118" i="4"/>
  <c r="Z118" i="4"/>
  <c r="AB117" i="4"/>
  <c r="AA117" i="4"/>
  <c r="Z117" i="4"/>
  <c r="AB116" i="4"/>
  <c r="AA116" i="4"/>
  <c r="Z116" i="4"/>
  <c r="D116" i="4"/>
  <c r="C116" i="4"/>
  <c r="AB115" i="4"/>
  <c r="AA115" i="4"/>
  <c r="Z115" i="4"/>
  <c r="D115" i="4"/>
  <c r="D121" i="4" s="1"/>
  <c r="M121" i="4" s="1"/>
  <c r="C115" i="4"/>
  <c r="AB114" i="4"/>
  <c r="AA114" i="4"/>
  <c r="Z114" i="4"/>
  <c r="D114" i="4"/>
  <c r="M114" i="4"/>
  <c r="C114" i="4"/>
  <c r="I120" i="4" s="1"/>
  <c r="Z120" i="4" s="1"/>
  <c r="AB113" i="4"/>
  <c r="AA113" i="4"/>
  <c r="Z113" i="4"/>
  <c r="AB112" i="4"/>
  <c r="AA112" i="4"/>
  <c r="Z112" i="4"/>
  <c r="AB111" i="4"/>
  <c r="AA111" i="4"/>
  <c r="Z111" i="4"/>
  <c r="AB110" i="4"/>
  <c r="AA110" i="4"/>
  <c r="Z110" i="4"/>
  <c r="AB109" i="4"/>
  <c r="AA109" i="4"/>
  <c r="Z109" i="4"/>
  <c r="AB108" i="4"/>
  <c r="AA108" i="4"/>
  <c r="Z108" i="4"/>
  <c r="AB107" i="4"/>
  <c r="AA107" i="4"/>
  <c r="Z107" i="4"/>
  <c r="AB106" i="4"/>
  <c r="AA106" i="4"/>
  <c r="Z106" i="4"/>
  <c r="AB105" i="4"/>
  <c r="AA105" i="4"/>
  <c r="Z105" i="4"/>
  <c r="AB104" i="4"/>
  <c r="AA104" i="4"/>
  <c r="Z104" i="4"/>
  <c r="AB103" i="4"/>
  <c r="AA103" i="4"/>
  <c r="Z103" i="4"/>
  <c r="AB102" i="4"/>
  <c r="AA102" i="4"/>
  <c r="Z102" i="4"/>
  <c r="AB101" i="4"/>
  <c r="AA101" i="4"/>
  <c r="Z101" i="4"/>
  <c r="AB100" i="4"/>
  <c r="AA100" i="4"/>
  <c r="Z100" i="4"/>
  <c r="AB99" i="4"/>
  <c r="AA99" i="4"/>
  <c r="Z99" i="4"/>
  <c r="AB98" i="4"/>
  <c r="AA98" i="4"/>
  <c r="Z98" i="4"/>
  <c r="AB97" i="4"/>
  <c r="AA97" i="4"/>
  <c r="Z97" i="4"/>
  <c r="AB96" i="4"/>
  <c r="AA96" i="4"/>
  <c r="Z96" i="4"/>
  <c r="AB95" i="4"/>
  <c r="AA95" i="4"/>
  <c r="Z95" i="4"/>
  <c r="AB94" i="4"/>
  <c r="AA94" i="4"/>
  <c r="Z94" i="4"/>
  <c r="Z93" i="4"/>
  <c r="Z92" i="4"/>
  <c r="Z91" i="4"/>
  <c r="Z90" i="4"/>
  <c r="Z89" i="4"/>
  <c r="E89" i="4"/>
  <c r="K93" i="4"/>
  <c r="AB93" i="4"/>
  <c r="D89" i="4"/>
  <c r="J93" i="4"/>
  <c r="AA93" i="4"/>
  <c r="AB88" i="4"/>
  <c r="AA88" i="4"/>
  <c r="Z88" i="4"/>
  <c r="E88" i="4"/>
  <c r="K92" i="4"/>
  <c r="AB92" i="4" s="1"/>
  <c r="D88" i="4"/>
  <c r="J92" i="4"/>
  <c r="AA92" i="4" s="1"/>
  <c r="AB87" i="4"/>
  <c r="AA87" i="4"/>
  <c r="Z87" i="4"/>
  <c r="E87" i="4"/>
  <c r="D87" i="4"/>
  <c r="M87" i="4" s="1"/>
  <c r="J91" i="4"/>
  <c r="AA91" i="4" s="1"/>
  <c r="AB86" i="4"/>
  <c r="Z86" i="4"/>
  <c r="O86" i="4"/>
  <c r="AA86" i="4" s="1"/>
  <c r="E86" i="4"/>
  <c r="D86" i="4"/>
  <c r="Z85" i="4"/>
  <c r="E85" i="4"/>
  <c r="K89" i="4"/>
  <c r="AB89" i="4" s="1"/>
  <c r="D85" i="4"/>
  <c r="M85" i="4"/>
  <c r="Z84" i="4"/>
  <c r="Z83" i="4"/>
  <c r="AB82" i="4"/>
  <c r="AA82" i="4"/>
  <c r="Z82" i="4"/>
  <c r="AB81" i="4"/>
  <c r="AA81" i="4"/>
  <c r="Z81" i="4"/>
  <c r="Q75" i="4"/>
  <c r="Q164" i="4" s="1"/>
  <c r="L72" i="4"/>
  <c r="AE71" i="4"/>
  <c r="I69" i="4"/>
  <c r="E69" i="4"/>
  <c r="E75" i="4"/>
  <c r="Z67" i="4"/>
  <c r="Z77" i="4" s="1"/>
  <c r="AE67" i="4"/>
  <c r="AE77" i="4"/>
  <c r="Q60" i="4"/>
  <c r="D60" i="4"/>
  <c r="C60" i="4"/>
  <c r="P59" i="4"/>
  <c r="K59" i="4"/>
  <c r="K60" i="4" s="1"/>
  <c r="E59" i="4"/>
  <c r="I58" i="4"/>
  <c r="E58" i="4"/>
  <c r="J60" i="4"/>
  <c r="AK60" i="4" s="1"/>
  <c r="I57" i="4"/>
  <c r="E57" i="4"/>
  <c r="Q56" i="4"/>
  <c r="O56" i="4"/>
  <c r="J56" i="4"/>
  <c r="D56" i="4"/>
  <c r="M56" i="4" s="1"/>
  <c r="C56" i="4"/>
  <c r="C61" i="4" s="1"/>
  <c r="P55" i="4"/>
  <c r="K55" i="4"/>
  <c r="E55" i="4"/>
  <c r="E56" i="4" s="1"/>
  <c r="P54" i="4"/>
  <c r="AB54" i="4" s="1"/>
  <c r="I54" i="4"/>
  <c r="E54" i="4"/>
  <c r="I53" i="4"/>
  <c r="E53" i="4"/>
  <c r="Q52" i="4"/>
  <c r="D52" i="4"/>
  <c r="P51" i="4"/>
  <c r="K51" i="4"/>
  <c r="E51" i="4"/>
  <c r="AY50" i="4"/>
  <c r="BA50" i="4" s="1"/>
  <c r="AZ50" i="4"/>
  <c r="P50" i="4"/>
  <c r="I50" i="4"/>
  <c r="E50" i="4"/>
  <c r="O52" i="4"/>
  <c r="M49" i="4"/>
  <c r="I49" i="4"/>
  <c r="AJ49" i="4" s="1"/>
  <c r="E49" i="4"/>
  <c r="I48" i="4"/>
  <c r="D48" i="4"/>
  <c r="C48" i="4"/>
  <c r="AA47" i="4"/>
  <c r="P47" i="4"/>
  <c r="K47" i="4"/>
  <c r="E47" i="4"/>
  <c r="AE46" i="4"/>
  <c r="O48" i="4"/>
  <c r="N48" i="4"/>
  <c r="J48" i="4"/>
  <c r="AK48" i="4" s="1"/>
  <c r="E46" i="4"/>
  <c r="O45" i="4"/>
  <c r="J45" i="4"/>
  <c r="I45" i="4"/>
  <c r="AJ45" i="4" s="1"/>
  <c r="D45" i="4"/>
  <c r="M45" i="4" s="1"/>
  <c r="P44" i="4"/>
  <c r="AL44" i="4"/>
  <c r="E44" i="4"/>
  <c r="P43" i="4"/>
  <c r="AL43" i="4" s="1"/>
  <c r="E43" i="4"/>
  <c r="P42" i="4"/>
  <c r="AL42" i="4"/>
  <c r="E42" i="4"/>
  <c r="P41" i="4"/>
  <c r="AL41" i="4"/>
  <c r="E41" i="4"/>
  <c r="P40" i="4"/>
  <c r="AL40" i="4"/>
  <c r="E40" i="4"/>
  <c r="P39" i="4"/>
  <c r="AL39" i="4" s="1"/>
  <c r="K39" i="4"/>
  <c r="E39" i="4"/>
  <c r="P38" i="4"/>
  <c r="K38" i="4"/>
  <c r="AL38" i="4" s="1"/>
  <c r="E38" i="4"/>
  <c r="P37" i="4"/>
  <c r="K37" i="4"/>
  <c r="AL37" i="4" s="1"/>
  <c r="E37" i="4"/>
  <c r="P36" i="4"/>
  <c r="K36" i="4"/>
  <c r="E36" i="4"/>
  <c r="Z35" i="4"/>
  <c r="P35" i="4"/>
  <c r="K35" i="4"/>
  <c r="E35" i="4"/>
  <c r="Z34" i="4"/>
  <c r="P34" i="4"/>
  <c r="K34" i="4"/>
  <c r="E34" i="4"/>
  <c r="AE33" i="4"/>
  <c r="N45" i="4"/>
  <c r="K33" i="4"/>
  <c r="C33" i="4"/>
  <c r="J32" i="4"/>
  <c r="I32" i="4"/>
  <c r="D32" i="4"/>
  <c r="M32" i="4" s="1"/>
  <c r="C32" i="4"/>
  <c r="AA31" i="4"/>
  <c r="Z31" i="4"/>
  <c r="AF31" i="4"/>
  <c r="AE31" i="4"/>
  <c r="P31" i="4"/>
  <c r="K31" i="4"/>
  <c r="AL31" i="4" s="1"/>
  <c r="E31" i="4"/>
  <c r="AA30" i="4"/>
  <c r="AF30" i="4"/>
  <c r="P30" i="4"/>
  <c r="K30" i="4"/>
  <c r="AL30" i="4" s="1"/>
  <c r="E30" i="4"/>
  <c r="AA29" i="4"/>
  <c r="Z29" i="4"/>
  <c r="AF29" i="4"/>
  <c r="AE29" i="4"/>
  <c r="P29" i="4"/>
  <c r="K29" i="4"/>
  <c r="E29" i="4"/>
  <c r="AA28" i="4"/>
  <c r="Z28" i="4"/>
  <c r="AF28" i="4"/>
  <c r="AE28" i="4"/>
  <c r="P28" i="4"/>
  <c r="K28" i="4"/>
  <c r="E28" i="4"/>
  <c r="AA27" i="4"/>
  <c r="Z27" i="4"/>
  <c r="AE27" i="4"/>
  <c r="P27" i="4"/>
  <c r="AL27" i="4" s="1"/>
  <c r="K27" i="4"/>
  <c r="E27" i="4"/>
  <c r="AF26" i="4"/>
  <c r="AE26" i="4"/>
  <c r="O26" i="4"/>
  <c r="AK26" i="4"/>
  <c r="N26" i="4"/>
  <c r="K26" i="4"/>
  <c r="E26" i="4"/>
  <c r="J25" i="4"/>
  <c r="I25" i="4"/>
  <c r="AJ25" i="4" s="1"/>
  <c r="D25" i="4"/>
  <c r="C25" i="4"/>
  <c r="AA24" i="4"/>
  <c r="Z24" i="4"/>
  <c r="AF24" i="4"/>
  <c r="AE24" i="4"/>
  <c r="P24" i="4"/>
  <c r="K24" i="4"/>
  <c r="AG24" i="4" s="1"/>
  <c r="E24" i="4"/>
  <c r="AA23" i="4"/>
  <c r="Z23" i="4"/>
  <c r="AF23" i="4"/>
  <c r="AE23" i="4"/>
  <c r="P23" i="4"/>
  <c r="K23" i="4"/>
  <c r="E23" i="4"/>
  <c r="E25" i="4" s="1"/>
  <c r="AA22" i="4"/>
  <c r="Z22" i="4"/>
  <c r="P22" i="4"/>
  <c r="K22" i="4"/>
  <c r="AL22" i="4" s="1"/>
  <c r="E22" i="4"/>
  <c r="AU21" i="4"/>
  <c r="AF21" i="4"/>
  <c r="AE21" i="4"/>
  <c r="N25" i="4"/>
  <c r="K21" i="4"/>
  <c r="AG21" i="4" s="1"/>
  <c r="E21" i="4"/>
  <c r="AU20" i="4"/>
  <c r="S50" i="4"/>
  <c r="AU19" i="4"/>
  <c r="S47" i="4" s="1"/>
  <c r="Q19" i="4"/>
  <c r="Q20" i="4" s="1"/>
  <c r="O19" i="4"/>
  <c r="N19" i="4"/>
  <c r="J19" i="4"/>
  <c r="M19" i="4" s="1"/>
  <c r="I19" i="4"/>
  <c r="L19" i="4" s="1"/>
  <c r="D19" i="4"/>
  <c r="C19" i="4"/>
  <c r="AF18" i="4"/>
  <c r="AE18" i="4"/>
  <c r="P18" i="4"/>
  <c r="K18" i="4"/>
  <c r="E18" i="4"/>
  <c r="P17" i="4"/>
  <c r="K17" i="4"/>
  <c r="E17" i="4"/>
  <c r="AA16" i="4"/>
  <c r="AF16" i="4"/>
  <c r="AE16" i="4"/>
  <c r="P16" i="4"/>
  <c r="K16" i="4"/>
  <c r="AB16" i="4" s="1"/>
  <c r="E16" i="4"/>
  <c r="E19" i="4" s="1"/>
  <c r="Q15" i="4"/>
  <c r="J15" i="4"/>
  <c r="I15" i="4"/>
  <c r="D15" i="4"/>
  <c r="M15" i="4" s="1"/>
  <c r="C15" i="4"/>
  <c r="AU14" i="4"/>
  <c r="S13" i="4"/>
  <c r="AR14" i="4"/>
  <c r="R13" i="4" s="1"/>
  <c r="R15" i="4" s="1"/>
  <c r="AA14" i="4"/>
  <c r="AF14" i="4"/>
  <c r="AE14" i="4"/>
  <c r="P14" i="4"/>
  <c r="AL14" i="4" s="1"/>
  <c r="K14" i="4"/>
  <c r="E14" i="4"/>
  <c r="AA13" i="4"/>
  <c r="P13" i="4"/>
  <c r="AL13" i="4" s="1"/>
  <c r="K13" i="4"/>
  <c r="E13" i="4"/>
  <c r="AF12" i="4"/>
  <c r="AE12" i="4"/>
  <c r="O15" i="4"/>
  <c r="AA15" i="4"/>
  <c r="N15" i="4"/>
  <c r="K12" i="4"/>
  <c r="AG12" i="4" s="1"/>
  <c r="E12" i="4"/>
  <c r="Q11" i="4"/>
  <c r="J11" i="4"/>
  <c r="I11" i="4"/>
  <c r="AJ11" i="4" s="1"/>
  <c r="D11" i="4"/>
  <c r="C11" i="4"/>
  <c r="AN10" i="4"/>
  <c r="AM10" i="4"/>
  <c r="AA10" i="4"/>
  <c r="Z10" i="4"/>
  <c r="AF10" i="4"/>
  <c r="AE10" i="4"/>
  <c r="P10" i="4"/>
  <c r="K10" i="4"/>
  <c r="E10" i="4"/>
  <c r="AN9" i="4"/>
  <c r="AM9" i="4"/>
  <c r="AA9" i="4"/>
  <c r="Z9" i="4"/>
  <c r="P9" i="4"/>
  <c r="AL9" i="4" s="1"/>
  <c r="K9" i="4"/>
  <c r="E9" i="4"/>
  <c r="AN8" i="4"/>
  <c r="AF8" i="4"/>
  <c r="AE8" i="4"/>
  <c r="O11" i="4"/>
  <c r="K8" i="4"/>
  <c r="K11" i="4" s="1"/>
  <c r="E8" i="4"/>
  <c r="E11" i="4" s="1"/>
  <c r="AK45" i="4"/>
  <c r="AL10" i="4"/>
  <c r="AL47" i="4"/>
  <c r="K54" i="4"/>
  <c r="AL54" i="4"/>
  <c r="AJ54" i="4"/>
  <c r="AJ48" i="4"/>
  <c r="K50" i="4"/>
  <c r="AL50" i="4"/>
  <c r="AJ50" i="4"/>
  <c r="L69" i="4"/>
  <c r="AJ69" i="4"/>
  <c r="AK56" i="4"/>
  <c r="AL18" i="4"/>
  <c r="AL28" i="4"/>
  <c r="AL36" i="4"/>
  <c r="AL34" i="4"/>
  <c r="AL55" i="4"/>
  <c r="P57" i="4"/>
  <c r="AA57" i="4"/>
  <c r="AB28" i="4"/>
  <c r="S52" i="4"/>
  <c r="AB27" i="4"/>
  <c r="K53" i="4"/>
  <c r="L11" i="4"/>
  <c r="O60" i="4"/>
  <c r="I121" i="4"/>
  <c r="Z121" i="4"/>
  <c r="L119" i="4"/>
  <c r="C149" i="4"/>
  <c r="AA26" i="4"/>
  <c r="P33" i="4"/>
  <c r="AB33" i="4" s="1"/>
  <c r="I60" i="4"/>
  <c r="I151" i="4"/>
  <c r="Z151" i="4" s="1"/>
  <c r="L25" i="4"/>
  <c r="AG10" i="4"/>
  <c r="E15" i="4"/>
  <c r="L15" i="4"/>
  <c r="Z21" i="4"/>
  <c r="K46" i="4"/>
  <c r="P69" i="4"/>
  <c r="AQ23" i="4"/>
  <c r="L32" i="4"/>
  <c r="Z48" i="4"/>
  <c r="AF46" i="4"/>
  <c r="AE72" i="4"/>
  <c r="I149" i="4"/>
  <c r="Z149" i="4"/>
  <c r="M93" i="4"/>
  <c r="M46" i="4"/>
  <c r="J52" i="4"/>
  <c r="AK52" i="4" s="1"/>
  <c r="AR17" i="4"/>
  <c r="AF49" i="4"/>
  <c r="K58" i="4"/>
  <c r="AE69" i="4"/>
  <c r="C127" i="4"/>
  <c r="L127" i="4" s="1"/>
  <c r="L145" i="4"/>
  <c r="L115" i="4"/>
  <c r="L58" i="4"/>
  <c r="L50" i="4"/>
  <c r="P8" i="4"/>
  <c r="AB9" i="4"/>
  <c r="AT23" i="4"/>
  <c r="AU17" i="4"/>
  <c r="AB31" i="4"/>
  <c r="AB34" i="4"/>
  <c r="Z46" i="4"/>
  <c r="E52" i="4"/>
  <c r="AE57" i="4"/>
  <c r="J90" i="4"/>
  <c r="AA90" i="4" s="1"/>
  <c r="AA119" i="4"/>
  <c r="M148" i="4"/>
  <c r="M144" i="4"/>
  <c r="M92" i="4"/>
  <c r="M88" i="4"/>
  <c r="M57" i="4"/>
  <c r="AG18" i="4"/>
  <c r="P21" i="4"/>
  <c r="Z33" i="4"/>
  <c r="J149" i="4"/>
  <c r="AA149" i="4"/>
  <c r="L148" i="4"/>
  <c r="L57" i="4"/>
  <c r="L54" i="4"/>
  <c r="C20" i="4"/>
  <c r="D20" i="4"/>
  <c r="O20" i="4"/>
  <c r="AB10" i="4"/>
  <c r="N11" i="4"/>
  <c r="AB47" i="4"/>
  <c r="Z57" i="4"/>
  <c r="D61" i="4"/>
  <c r="AG14" i="4"/>
  <c r="AA8" i="4"/>
  <c r="P12" i="4"/>
  <c r="P15" i="4" s="1"/>
  <c r="AG31" i="4"/>
  <c r="AA49" i="4"/>
  <c r="P49" i="4"/>
  <c r="P52" i="4" s="1"/>
  <c r="E60" i="4"/>
  <c r="J89" i="4"/>
  <c r="K90" i="4"/>
  <c r="AB90" i="4"/>
  <c r="O32" i="4"/>
  <c r="AA32" i="4"/>
  <c r="AE32" i="4"/>
  <c r="AA46" i="4"/>
  <c r="P46" i="4"/>
  <c r="AB46" i="4" s="1"/>
  <c r="Z50" i="4"/>
  <c r="AF57" i="4"/>
  <c r="K57" i="4"/>
  <c r="J121" i="4"/>
  <c r="AA121" i="4" s="1"/>
  <c r="J150" i="4"/>
  <c r="AA150" i="4"/>
  <c r="C151" i="4"/>
  <c r="Z54" i="4"/>
  <c r="J120" i="4"/>
  <c r="AA120" i="4"/>
  <c r="C121" i="4"/>
  <c r="L121" i="4" s="1"/>
  <c r="C150" i="4"/>
  <c r="AE54" i="4"/>
  <c r="AL12" i="4"/>
  <c r="O61" i="4"/>
  <c r="AQ25" i="4"/>
  <c r="AB50" i="4"/>
  <c r="AL57" i="4"/>
  <c r="L60" i="4"/>
  <c r="L151" i="4"/>
  <c r="AK32" i="4"/>
  <c r="Z11" i="4"/>
  <c r="P11" i="4"/>
  <c r="AB11" i="4" s="1"/>
  <c r="AL8" i="4"/>
  <c r="K48" i="4"/>
  <c r="AG48" i="4" s="1"/>
  <c r="AL21" i="4"/>
  <c r="E61" i="4"/>
  <c r="T47" i="4"/>
  <c r="S48" i="4"/>
  <c r="AF47" i="4"/>
  <c r="L149" i="4"/>
  <c r="AA52" i="4"/>
  <c r="AA89" i="4"/>
  <c r="M89" i="4"/>
  <c r="P48" i="4"/>
  <c r="AB48" i="4" s="1"/>
  <c r="AB57" i="4"/>
  <c r="T48" i="4"/>
  <c r="AG47" i="4"/>
  <c r="AF13" i="4"/>
  <c r="AE15" i="4"/>
  <c r="AR15" i="4"/>
  <c r="R17" i="4" s="1"/>
  <c r="AU15" i="4"/>
  <c r="S17" i="4"/>
  <c r="AF17" i="4"/>
  <c r="S19" i="4"/>
  <c r="AF19" i="4" s="1"/>
  <c r="AO77" i="4"/>
  <c r="AR13" i="4"/>
  <c r="R9" i="4" s="1"/>
  <c r="AV14" i="4"/>
  <c r="AU13" i="4"/>
  <c r="S9" i="4" s="1"/>
  <c r="AW14" i="4"/>
  <c r="AR18" i="4"/>
  <c r="R34" i="4"/>
  <c r="T34" i="4" s="1"/>
  <c r="R45" i="4"/>
  <c r="AE45" i="4"/>
  <c r="AE34" i="4"/>
  <c r="AR16" i="4"/>
  <c r="R22" i="4"/>
  <c r="AE22" i="4" s="1"/>
  <c r="R25" i="4"/>
  <c r="AE25" i="4" s="1"/>
  <c r="S22" i="4"/>
  <c r="T22" i="4" s="1"/>
  <c r="AF22" i="4"/>
  <c r="AU16" i="4"/>
  <c r="S25" i="4"/>
  <c r="AF25" i="4"/>
  <c r="AP23" i="4"/>
  <c r="AP32" i="4" s="1"/>
  <c r="AR22" i="4"/>
  <c r="R58" i="4"/>
  <c r="R60" i="4" s="1"/>
  <c r="AE58" i="4"/>
  <c r="AS23" i="4"/>
  <c r="AQ32" i="4"/>
  <c r="AU22" i="4"/>
  <c r="S58" i="4" s="1"/>
  <c r="AP25" i="4"/>
  <c r="AN19" i="8"/>
  <c r="BB13" i="8"/>
  <c r="BC35" i="8"/>
  <c r="P38" i="8"/>
  <c r="BA13" i="8"/>
  <c r="BF13" i="8"/>
  <c r="BG35" i="8"/>
  <c r="AN38" i="8"/>
  <c r="BF17" i="8"/>
  <c r="BF24" i="8"/>
  <c r="BE13" i="8"/>
  <c r="AG22" i="4" l="1"/>
  <c r="R107" i="4"/>
  <c r="R112" i="4" s="1"/>
  <c r="R11" i="4"/>
  <c r="AE11" i="4" s="1"/>
  <c r="AP8" i="4"/>
  <c r="AP10" i="4" s="1"/>
  <c r="AE9" i="4"/>
  <c r="T17" i="4"/>
  <c r="T60" i="4"/>
  <c r="S107" i="4"/>
  <c r="S112" i="4" s="1"/>
  <c r="T9" i="4"/>
  <c r="AF9" i="4"/>
  <c r="S11" i="4"/>
  <c r="AF11" i="4" s="1"/>
  <c r="AQ8" i="4"/>
  <c r="AQ10" i="4" s="1"/>
  <c r="R19" i="4"/>
  <c r="AE17" i="4"/>
  <c r="T45" i="4"/>
  <c r="AG34" i="4"/>
  <c r="L150" i="4"/>
  <c r="T58" i="4"/>
  <c r="AG58" i="4" s="1"/>
  <c r="S60" i="4"/>
  <c r="AE60" i="4"/>
  <c r="R61" i="4"/>
  <c r="N32" i="4"/>
  <c r="Z32" i="4" s="1"/>
  <c r="Z26" i="4"/>
  <c r="M86" i="4"/>
  <c r="D90" i="4"/>
  <c r="AF52" i="4"/>
  <c r="M115" i="4"/>
  <c r="L48" i="4"/>
  <c r="P26" i="4"/>
  <c r="AL59" i="4"/>
  <c r="E20" i="4"/>
  <c r="AB22" i="4"/>
  <c r="C45" i="4"/>
  <c r="L45" i="4" s="1"/>
  <c r="E33" i="4"/>
  <c r="E45" i="4" s="1"/>
  <c r="L33" i="4"/>
  <c r="S108" i="4"/>
  <c r="T23" i="4"/>
  <c r="AG71" i="4"/>
  <c r="AL71" i="4"/>
  <c r="H25" i="10"/>
  <c r="H19" i="10"/>
  <c r="N18" i="10" s="1"/>
  <c r="AR23" i="4"/>
  <c r="AE13" i="4"/>
  <c r="AL48" i="4"/>
  <c r="AG57" i="4"/>
  <c r="P25" i="4"/>
  <c r="M52" i="4"/>
  <c r="AF48" i="4"/>
  <c r="AA60" i="4"/>
  <c r="L49" i="4"/>
  <c r="Z45" i="4"/>
  <c r="I20" i="4"/>
  <c r="M91" i="4"/>
  <c r="AB13" i="4"/>
  <c r="AL46" i="4"/>
  <c r="K25" i="4"/>
  <c r="AL25" i="4" s="1"/>
  <c r="AL24" i="4"/>
  <c r="AL11" i="4"/>
  <c r="M11" i="4"/>
  <c r="AA11" i="4"/>
  <c r="AK11" i="4"/>
  <c r="Z15" i="4"/>
  <c r="N20" i="4"/>
  <c r="S15" i="4"/>
  <c r="T13" i="4"/>
  <c r="K45" i="4"/>
  <c r="AG33" i="4"/>
  <c r="AL33" i="4"/>
  <c r="AB35" i="4"/>
  <c r="AL35" i="4"/>
  <c r="E26" i="5"/>
  <c r="R38" i="5"/>
  <c r="D63" i="4"/>
  <c r="P75" i="4"/>
  <c r="M48" i="4"/>
  <c r="AA48" i="4"/>
  <c r="K49" i="4"/>
  <c r="I52" i="4"/>
  <c r="AE49" i="4"/>
  <c r="Z49" i="4"/>
  <c r="I122" i="4"/>
  <c r="Z122" i="4" s="1"/>
  <c r="C122" i="4"/>
  <c r="L122" i="4" s="1"/>
  <c r="C156" i="4"/>
  <c r="L156" i="4" s="1"/>
  <c r="L155" i="4"/>
  <c r="Z53" i="4"/>
  <c r="N56" i="4"/>
  <c r="Z56" i="4" s="1"/>
  <c r="J61" i="4"/>
  <c r="AA61" i="4"/>
  <c r="L116" i="4"/>
  <c r="M60" i="4"/>
  <c r="AG53" i="4"/>
  <c r="K56" i="4"/>
  <c r="AJ26" i="4"/>
  <c r="P19" i="4"/>
  <c r="P20" i="4" s="1"/>
  <c r="AL17" i="4"/>
  <c r="AL23" i="4"/>
  <c r="AB23" i="4"/>
  <c r="AB24" i="4"/>
  <c r="AF27" i="4"/>
  <c r="T27" i="4"/>
  <c r="AB70" i="4"/>
  <c r="AL70" i="4"/>
  <c r="AA70" i="4"/>
  <c r="AK70" i="4"/>
  <c r="AU23" i="4"/>
  <c r="AG46" i="4"/>
  <c r="AB8" i="4"/>
  <c r="P45" i="4"/>
  <c r="AB45" i="4" s="1"/>
  <c r="AB12" i="4"/>
  <c r="K19" i="4"/>
  <c r="J20" i="4"/>
  <c r="AB14" i="4"/>
  <c r="P53" i="4"/>
  <c r="M119" i="4"/>
  <c r="K15" i="4"/>
  <c r="AB15" i="4" s="1"/>
  <c r="M25" i="4"/>
  <c r="Z25" i="4"/>
  <c r="I75" i="4"/>
  <c r="Z69" i="4"/>
  <c r="K69" i="4"/>
  <c r="M145" i="4"/>
  <c r="D150" i="4"/>
  <c r="M150" i="4" s="1"/>
  <c r="D149" i="4"/>
  <c r="M149" i="4" s="1"/>
  <c r="R52" i="4"/>
  <c r="AE50" i="4"/>
  <c r="T50" i="4"/>
  <c r="P58" i="4"/>
  <c r="AJ58" i="4"/>
  <c r="Z58" i="4"/>
  <c r="S44" i="5"/>
  <c r="T44" i="5" s="1"/>
  <c r="U44" i="5" s="1"/>
  <c r="Z53" i="5"/>
  <c r="D54" i="5" s="1"/>
  <c r="AL51" i="4"/>
  <c r="AB51" i="4"/>
  <c r="L53" i="4"/>
  <c r="I56" i="4"/>
  <c r="AJ53" i="4"/>
  <c r="AE53" i="4"/>
  <c r="D122" i="4"/>
  <c r="M122" i="4" s="1"/>
  <c r="J122" i="4"/>
  <c r="AA122" i="4" s="1"/>
  <c r="M116" i="4"/>
  <c r="I150" i="4"/>
  <c r="Z150" i="4" s="1"/>
  <c r="L144" i="4"/>
  <c r="AJ57" i="4"/>
  <c r="N60" i="4"/>
  <c r="W23" i="5"/>
  <c r="W25" i="5"/>
  <c r="W24" i="5"/>
  <c r="L114" i="4"/>
  <c r="AB21" i="4"/>
  <c r="C120" i="4"/>
  <c r="L120" i="4" s="1"/>
  <c r="AL26" i="4"/>
  <c r="AG26" i="4"/>
  <c r="K32" i="4"/>
  <c r="E32" i="4"/>
  <c r="AL29" i="4"/>
  <c r="AB29" i="4"/>
  <c r="AG29" i="4"/>
  <c r="AB30" i="4"/>
  <c r="E48" i="4"/>
  <c r="E63" i="4" s="1"/>
  <c r="E164" i="4" s="1"/>
  <c r="K91" i="4"/>
  <c r="AB91" i="4" s="1"/>
  <c r="E90" i="4"/>
  <c r="AA148" i="4"/>
  <c r="J151" i="4"/>
  <c r="AA151" i="4" s="1"/>
  <c r="T35" i="4"/>
  <c r="AG35" i="4" s="1"/>
  <c r="AE35" i="4"/>
  <c r="O38" i="5"/>
  <c r="L71" i="4"/>
  <c r="L75" i="4" s="1"/>
  <c r="AJ71" i="4"/>
  <c r="Z71" i="4"/>
  <c r="AA21" i="4"/>
  <c r="O25" i="4"/>
  <c r="M75" i="4"/>
  <c r="T109" i="4"/>
  <c r="C26" i="5"/>
  <c r="H55" i="5"/>
  <c r="H56" i="5" s="1"/>
  <c r="K73" i="4"/>
  <c r="AF73" i="4"/>
  <c r="AK73" i="4"/>
  <c r="O75" i="4"/>
  <c r="AJ12" i="4"/>
  <c r="Z12" i="4"/>
  <c r="H26" i="10"/>
  <c r="H27" i="10" s="1"/>
  <c r="F27" i="10"/>
  <c r="AA58" i="4"/>
  <c r="AR9" i="4"/>
  <c r="T75" i="4"/>
  <c r="H5" i="5"/>
  <c r="H11" i="5" s="1"/>
  <c r="H26" i="5" s="1"/>
  <c r="F26" i="5"/>
  <c r="AL74" i="4"/>
  <c r="AM75" i="8"/>
  <c r="BZ75" i="8" s="1"/>
  <c r="BZ70" i="8"/>
  <c r="N19" i="10"/>
  <c r="Q54" i="5"/>
  <c r="Q56" i="5" s="1"/>
  <c r="R55" i="5" s="1"/>
  <c r="P73" i="4"/>
  <c r="AB73" i="4" s="1"/>
  <c r="AA73" i="4"/>
  <c r="H11" i="4"/>
  <c r="H20" i="4" s="1"/>
  <c r="H63" i="4" s="1"/>
  <c r="D113" i="8"/>
  <c r="J113" i="8" s="1"/>
  <c r="J107" i="8"/>
  <c r="D114" i="8"/>
  <c r="J114" i="8" s="1"/>
  <c r="D112" i="8"/>
  <c r="J112" i="8" s="1"/>
  <c r="J111" i="8"/>
  <c r="CA14" i="8"/>
  <c r="CA35" i="8"/>
  <c r="V19" i="8"/>
  <c r="Y18" i="8"/>
  <c r="M14" i="10"/>
  <c r="G27" i="10"/>
  <c r="G21" i="10"/>
  <c r="M19" i="10"/>
  <c r="M20" i="10" s="1"/>
  <c r="J75" i="4"/>
  <c r="AF75" i="4" s="1"/>
  <c r="Y36" i="8"/>
  <c r="CA36" i="8" s="1"/>
  <c r="L19" i="10"/>
  <c r="CA20" i="8"/>
  <c r="Y24" i="8"/>
  <c r="AN75" i="8"/>
  <c r="CA75" i="8" s="1"/>
  <c r="CA70" i="8"/>
  <c r="L29" i="8"/>
  <c r="L127" i="8" s="1"/>
  <c r="AL75" i="8"/>
  <c r="BY75" i="8" s="1"/>
  <c r="BY70" i="8"/>
  <c r="C112" i="8"/>
  <c r="I112" i="8" s="1"/>
  <c r="BE27" i="8"/>
  <c r="Y25" i="8"/>
  <c r="CA25" i="8" s="1"/>
  <c r="Y37" i="8"/>
  <c r="CA37" i="8" s="1"/>
  <c r="F19" i="10"/>
  <c r="AM29" i="8"/>
  <c r="BZ29" i="8" s="1"/>
  <c r="BZ19" i="8"/>
  <c r="Y26" i="8"/>
  <c r="S27" i="8"/>
  <c r="BY24" i="8"/>
  <c r="W29" i="8"/>
  <c r="W127" i="8" s="1"/>
  <c r="K29" i="8"/>
  <c r="K127" i="8" s="1"/>
  <c r="N29" i="8"/>
  <c r="I78" i="8"/>
  <c r="AW38" i="8"/>
  <c r="AW27" i="8"/>
  <c r="R29" i="8"/>
  <c r="AV27" i="8"/>
  <c r="AV38" i="8"/>
  <c r="BC26" i="8"/>
  <c r="AX26" i="8"/>
  <c r="D29" i="8"/>
  <c r="AW29" i="8" s="1"/>
  <c r="AW19" i="8"/>
  <c r="E19" i="8"/>
  <c r="AX19" i="8" s="1"/>
  <c r="AX18" i="8"/>
  <c r="I19" i="8"/>
  <c r="AV19" i="8"/>
  <c r="AL29" i="8"/>
  <c r="Q29" i="8"/>
  <c r="BA24" i="8"/>
  <c r="C29" i="8"/>
  <c r="V29" i="8"/>
  <c r="V127" i="8" s="1"/>
  <c r="BB27" i="8"/>
  <c r="O29" i="8"/>
  <c r="BE38" i="8"/>
  <c r="BF38" i="8"/>
  <c r="I27" i="8"/>
  <c r="I29" i="8" s="1"/>
  <c r="I127" i="8" s="1"/>
  <c r="BB24" i="8"/>
  <c r="BF19" i="8"/>
  <c r="C119" i="8"/>
  <c r="I119" i="8" s="1"/>
  <c r="E38" i="8"/>
  <c r="AX38" i="8" s="1"/>
  <c r="J27" i="8"/>
  <c r="P17" i="8"/>
  <c r="P29" i="8" s="1"/>
  <c r="S38" i="8"/>
  <c r="BG36" i="8"/>
  <c r="C114" i="8"/>
  <c r="I114" i="8" s="1"/>
  <c r="D83" i="8"/>
  <c r="J83" i="8" s="1"/>
  <c r="BA19" i="8"/>
  <c r="E53" i="8"/>
  <c r="M47" i="8" s="1"/>
  <c r="BG26" i="8"/>
  <c r="BE24" i="8"/>
  <c r="BC18" i="8"/>
  <c r="BG18" i="8" s="1"/>
  <c r="S17" i="8"/>
  <c r="E17" i="8"/>
  <c r="BB19" i="8"/>
  <c r="BC37" i="8"/>
  <c r="BA27" i="8"/>
  <c r="BF27" i="8"/>
  <c r="BA38" i="8"/>
  <c r="BB38" i="8"/>
  <c r="BB17" i="8"/>
  <c r="M38" i="8"/>
  <c r="BC14" i="8"/>
  <c r="D53" i="8"/>
  <c r="L47" i="8" s="1"/>
  <c r="C85" i="8"/>
  <c r="I85" i="8" s="1"/>
  <c r="AN27" i="8"/>
  <c r="D85" i="8"/>
  <c r="J85" i="8" s="1"/>
  <c r="BC36" i="8"/>
  <c r="E27" i="8"/>
  <c r="AX27" i="8" s="1"/>
  <c r="BC13" i="8"/>
  <c r="O42" i="8"/>
  <c r="BG19" i="8"/>
  <c r="BC19" i="8"/>
  <c r="U127" i="8"/>
  <c r="BE19" i="8"/>
  <c r="M15" i="8"/>
  <c r="M17" i="8" s="1"/>
  <c r="M29" i="8" s="1"/>
  <c r="J19" i="8"/>
  <c r="C90" i="8"/>
  <c r="I90" i="8" s="1"/>
  <c r="D127" i="8"/>
  <c r="BG25" i="8"/>
  <c r="BC16" i="8"/>
  <c r="BG16" i="8" s="1"/>
  <c r="BB15" i="8"/>
  <c r="BF15" i="8" s="1"/>
  <c r="P132" i="8"/>
  <c r="C83" i="8"/>
  <c r="I83" i="8" s="1"/>
  <c r="D84" i="8"/>
  <c r="J84" i="8" s="1"/>
  <c r="BA16" i="8"/>
  <c r="BE16" i="8" s="1"/>
  <c r="BC25" i="8"/>
  <c r="BG13" i="8"/>
  <c r="AM127" i="8"/>
  <c r="BZ127" i="8" s="1"/>
  <c r="AA75" i="4" l="1"/>
  <c r="O164" i="4"/>
  <c r="AA164" i="4" s="1"/>
  <c r="R53" i="5"/>
  <c r="T53" i="5" s="1"/>
  <c r="Y51" i="5"/>
  <c r="Q36" i="5"/>
  <c r="Q34" i="5"/>
  <c r="Q37" i="5"/>
  <c r="Q33" i="5"/>
  <c r="Q38" i="5"/>
  <c r="Q35" i="5"/>
  <c r="D52" i="5"/>
  <c r="AB58" i="4"/>
  <c r="AL58" i="4"/>
  <c r="P60" i="4"/>
  <c r="AK20" i="4"/>
  <c r="AA20" i="4"/>
  <c r="M151" i="4"/>
  <c r="AB75" i="4"/>
  <c r="AF15" i="4"/>
  <c r="S20" i="4"/>
  <c r="AF20" i="4" s="1"/>
  <c r="L20" i="4"/>
  <c r="AJ20" i="4"/>
  <c r="AG60" i="4"/>
  <c r="CA24" i="8"/>
  <c r="P83" i="4"/>
  <c r="AB83" i="4" s="1"/>
  <c r="P84" i="4"/>
  <c r="AB84" i="4" s="1"/>
  <c r="P85" i="4"/>
  <c r="AB85" i="4" s="1"/>
  <c r="R33" i="5"/>
  <c r="R34" i="5"/>
  <c r="R36" i="5"/>
  <c r="Y52" i="5"/>
  <c r="C46" i="5" s="1"/>
  <c r="R37" i="5"/>
  <c r="R35" i="5"/>
  <c r="Z60" i="4"/>
  <c r="AJ60" i="4"/>
  <c r="N61" i="4"/>
  <c r="AB53" i="4"/>
  <c r="P56" i="4"/>
  <c r="AB56" i="4" s="1"/>
  <c r="J63" i="4"/>
  <c r="AK61" i="4"/>
  <c r="AJ52" i="4"/>
  <c r="L52" i="4"/>
  <c r="Z52" i="4"/>
  <c r="M61" i="4"/>
  <c r="AL45" i="4"/>
  <c r="AF60" i="4"/>
  <c r="S61" i="4"/>
  <c r="AG45" i="4"/>
  <c r="CA26" i="8"/>
  <c r="Y27" i="8"/>
  <c r="CA27" i="8" s="1"/>
  <c r="F21" i="10"/>
  <c r="L18" i="10"/>
  <c r="L20" i="10" s="1"/>
  <c r="M164" i="4"/>
  <c r="N20" i="10"/>
  <c r="N22" i="10"/>
  <c r="T108" i="4"/>
  <c r="AG23" i="4"/>
  <c r="Y15" i="8"/>
  <c r="AK75" i="4"/>
  <c r="J164" i="4"/>
  <c r="CA18" i="8"/>
  <c r="Y19" i="8"/>
  <c r="CA19" i="8" s="1"/>
  <c r="AA25" i="4"/>
  <c r="O63" i="4"/>
  <c r="AA63" i="4" s="1"/>
  <c r="AJ32" i="4"/>
  <c r="AG50" i="4"/>
  <c r="T52" i="4"/>
  <c r="AG52" i="4" s="1"/>
  <c r="Z75" i="4"/>
  <c r="AJ75" i="4"/>
  <c r="AE75" i="4"/>
  <c r="K20" i="4"/>
  <c r="AL20" i="4" s="1"/>
  <c r="T32" i="4"/>
  <c r="AG32" i="4" s="1"/>
  <c r="AG27" i="4"/>
  <c r="AL56" i="4"/>
  <c r="AG56" i="4"/>
  <c r="M63" i="4"/>
  <c r="D164" i="4"/>
  <c r="Z20" i="4"/>
  <c r="AK25" i="4"/>
  <c r="AB26" i="4"/>
  <c r="P32" i="4"/>
  <c r="AB32" i="4" s="1"/>
  <c r="M90" i="4"/>
  <c r="O85" i="4"/>
  <c r="AA85" i="4" s="1"/>
  <c r="O84" i="4"/>
  <c r="AA84" i="4" s="1"/>
  <c r="O83" i="4"/>
  <c r="AA83" i="4" s="1"/>
  <c r="M20" i="4"/>
  <c r="AE19" i="4"/>
  <c r="R20" i="4"/>
  <c r="AE20" i="4" s="1"/>
  <c r="T107" i="4"/>
  <c r="T112" i="4" s="1"/>
  <c r="AR8" i="4"/>
  <c r="AR10" i="4" s="1"/>
  <c r="AG9" i="4"/>
  <c r="T19" i="4"/>
  <c r="AG17" i="4"/>
  <c r="BG38" i="8"/>
  <c r="BF29" i="8"/>
  <c r="Y38" i="8"/>
  <c r="CA38" i="8" s="1"/>
  <c r="R51" i="5"/>
  <c r="T51" i="5" s="1"/>
  <c r="AL73" i="4"/>
  <c r="AG73" i="4"/>
  <c r="Z56" i="5"/>
  <c r="S37" i="5"/>
  <c r="Y53" i="5"/>
  <c r="C54" i="5" s="1"/>
  <c r="C55" i="5" s="1"/>
  <c r="S38" i="5"/>
  <c r="T38" i="5" s="1"/>
  <c r="U38" i="5" s="1"/>
  <c r="S35" i="5"/>
  <c r="S34" i="5"/>
  <c r="S33" i="5"/>
  <c r="T33" i="5" s="1"/>
  <c r="U33" i="5" s="1"/>
  <c r="S36" i="5"/>
  <c r="T36" i="5" s="1"/>
  <c r="U36" i="5" s="1"/>
  <c r="I61" i="4"/>
  <c r="L56" i="4"/>
  <c r="AE56" i="4"/>
  <c r="AJ56" i="4"/>
  <c r="R52" i="5"/>
  <c r="T52" i="5" s="1"/>
  <c r="AE52" i="4"/>
  <c r="AL69" i="4"/>
  <c r="AG69" i="4"/>
  <c r="K75" i="4"/>
  <c r="AL53" i="4"/>
  <c r="T11" i="4"/>
  <c r="AG11" i="4" s="1"/>
  <c r="AB20" i="4"/>
  <c r="H21" i="10"/>
  <c r="K61" i="4"/>
  <c r="AL49" i="4"/>
  <c r="K52" i="4"/>
  <c r="AG49" i="4"/>
  <c r="AB49" i="4"/>
  <c r="AB69" i="4"/>
  <c r="T15" i="4"/>
  <c r="AG15" i="4" s="1"/>
  <c r="AG13" i="4"/>
  <c r="AB25" i="4"/>
  <c r="AR25" i="4"/>
  <c r="C63" i="4"/>
  <c r="T25" i="4"/>
  <c r="AG25" i="4" s="1"/>
  <c r="AL127" i="8"/>
  <c r="BY127" i="8" s="1"/>
  <c r="BY29" i="8"/>
  <c r="BG27" i="8"/>
  <c r="S29" i="8"/>
  <c r="O127" i="8"/>
  <c r="C127" i="8"/>
  <c r="AV29" i="8"/>
  <c r="J29" i="8"/>
  <c r="J127" i="8" s="1"/>
  <c r="E29" i="8"/>
  <c r="M48" i="8"/>
  <c r="M46" i="8"/>
  <c r="L48" i="8"/>
  <c r="J53" i="8"/>
  <c r="L46" i="8"/>
  <c r="BC27" i="8"/>
  <c r="BC38" i="8"/>
  <c r="AN17" i="8"/>
  <c r="BA17" i="8"/>
  <c r="N127" i="8"/>
  <c r="BE29" i="8"/>
  <c r="BE17" i="8"/>
  <c r="BG14" i="8"/>
  <c r="BB29" i="8"/>
  <c r="AW127" i="8"/>
  <c r="BC15" i="8"/>
  <c r="BG15" i="8" s="1"/>
  <c r="BC24" i="8"/>
  <c r="P42" i="8"/>
  <c r="P127" i="8" s="1"/>
  <c r="M127" i="8"/>
  <c r="BG24" i="8"/>
  <c r="V54" i="5" l="1"/>
  <c r="V53" i="5"/>
  <c r="V55" i="5"/>
  <c r="T54" i="5"/>
  <c r="V51" i="5"/>
  <c r="V52" i="5"/>
  <c r="V56" i="5"/>
  <c r="X55" i="5"/>
  <c r="X54" i="5"/>
  <c r="X51" i="5"/>
  <c r="X53" i="5"/>
  <c r="X56" i="5"/>
  <c r="X52" i="5"/>
  <c r="AV127" i="8"/>
  <c r="AL75" i="4"/>
  <c r="W53" i="5"/>
  <c r="W51" i="5"/>
  <c r="W56" i="5"/>
  <c r="W55" i="5"/>
  <c r="W54" i="5"/>
  <c r="W52" i="5"/>
  <c r="I63" i="4"/>
  <c r="L61" i="4"/>
  <c r="AJ61" i="4"/>
  <c r="T35" i="5"/>
  <c r="U35" i="5" s="1"/>
  <c r="AL32" i="4"/>
  <c r="AG75" i="4"/>
  <c r="AG19" i="4"/>
  <c r="T20" i="4"/>
  <c r="AG20" i="4" s="1"/>
  <c r="AE61" i="4"/>
  <c r="AF61" i="4"/>
  <c r="S63" i="4"/>
  <c r="AK63" i="4"/>
  <c r="L39" i="5"/>
  <c r="E46" i="5"/>
  <c r="E47" i="5" s="1"/>
  <c r="C47" i="5"/>
  <c r="T61" i="4"/>
  <c r="AB60" i="4"/>
  <c r="P61" i="4"/>
  <c r="AL60" i="4"/>
  <c r="E54" i="5"/>
  <c r="K63" i="4"/>
  <c r="AL61" i="4"/>
  <c r="T34" i="5"/>
  <c r="U34" i="5" s="1"/>
  <c r="T37" i="5"/>
  <c r="U37" i="5" s="1"/>
  <c r="CA15" i="8"/>
  <c r="Y17" i="8"/>
  <c r="Y29" i="8" s="1"/>
  <c r="Y127" i="8" s="1"/>
  <c r="Z61" i="4"/>
  <c r="N63" i="4"/>
  <c r="C164" i="4"/>
  <c r="AL52" i="4"/>
  <c r="AB52" i="4"/>
  <c r="AK164" i="4"/>
  <c r="R63" i="4"/>
  <c r="E52" i="5"/>
  <c r="D55" i="5"/>
  <c r="D56" i="5" s="1"/>
  <c r="C38" i="5"/>
  <c r="Y56" i="5"/>
  <c r="AN29" i="8"/>
  <c r="CA17" i="8"/>
  <c r="AX17" i="8"/>
  <c r="E127" i="8"/>
  <c r="AX29" i="8"/>
  <c r="BA29" i="8"/>
  <c r="BC29" i="8"/>
  <c r="Q42" i="8"/>
  <c r="BG17" i="8"/>
  <c r="BC17" i="8"/>
  <c r="P63" i="4" l="1"/>
  <c r="AB61" i="4"/>
  <c r="AF63" i="4"/>
  <c r="S164" i="4"/>
  <c r="AF164" i="4" s="1"/>
  <c r="AE63" i="4"/>
  <c r="R164" i="4"/>
  <c r="N164" i="4"/>
  <c r="Z164" i="4" s="1"/>
  <c r="Z63" i="4"/>
  <c r="AJ63" i="4"/>
  <c r="I164" i="4"/>
  <c r="L38" i="5"/>
  <c r="C39" i="5"/>
  <c r="C56" i="5" s="1"/>
  <c r="C62" i="5" s="1"/>
  <c r="E38" i="5"/>
  <c r="E39" i="5" s="1"/>
  <c r="L63" i="4"/>
  <c r="L164" i="4" s="1"/>
  <c r="T63" i="4"/>
  <c r="AG61" i="4"/>
  <c r="CA29" i="8"/>
  <c r="E55" i="5"/>
  <c r="E56" i="5" s="1"/>
  <c r="AL63" i="4"/>
  <c r="K164" i="4"/>
  <c r="BK29" i="8"/>
  <c r="AN127" i="8"/>
  <c r="BK33" i="8"/>
  <c r="BG29" i="8"/>
  <c r="R42" i="8"/>
  <c r="Q127" i="8"/>
  <c r="BE42" i="8"/>
  <c r="AO67" i="4" l="1"/>
  <c r="AO63" i="4"/>
  <c r="AG63" i="4"/>
  <c r="T164" i="4"/>
  <c r="AJ164" i="4"/>
  <c r="AE164" i="4"/>
  <c r="AB63" i="4"/>
  <c r="P164" i="4"/>
  <c r="AB164" i="4" s="1"/>
  <c r="AX127" i="8"/>
  <c r="CA127" i="8"/>
  <c r="BE127" i="8"/>
  <c r="BA127" i="8"/>
  <c r="S42" i="8"/>
  <c r="R127" i="8"/>
  <c r="BF42" i="8"/>
  <c r="AG164" i="4" l="1"/>
  <c r="T163" i="4"/>
  <c r="AL164" i="4"/>
  <c r="BF127" i="8"/>
  <c r="BB127" i="8"/>
  <c r="S127" i="8"/>
  <c r="BG42" i="8"/>
  <c r="BC42" i="8"/>
  <c r="BG127" i="8" l="1"/>
  <c r="BC127" i="8"/>
</calcChain>
</file>

<file path=xl/comments1.xml><?xml version="1.0" encoding="utf-8"?>
<comments xmlns="http://schemas.openxmlformats.org/spreadsheetml/2006/main">
  <authors>
    <author>Ninguno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Ninguno:</t>
        </r>
        <r>
          <rPr>
            <sz val="9"/>
            <color indexed="81"/>
            <rFont val="Tahoma"/>
            <family val="2"/>
          </rPr>
          <t xml:space="preserve">
Se han pagado 113,821.82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</rPr>
          <t>Ninguno:</t>
        </r>
        <r>
          <rPr>
            <sz val="9"/>
            <color indexed="81"/>
            <rFont val="Tahoma"/>
            <family val="2"/>
          </rPr>
          <t xml:space="preserve">
Se han pagado 113,821.82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Ninguno:</t>
        </r>
        <r>
          <rPr>
            <sz val="9"/>
            <color indexed="81"/>
            <rFont val="Tahoma"/>
            <family val="2"/>
          </rPr>
          <t xml:space="preserve">
Reintegros a la TESOFE, de conformidad a los lineamientos
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</rPr>
          <t>Ninguno:</t>
        </r>
        <r>
          <rPr>
            <sz val="9"/>
            <color indexed="81"/>
            <rFont val="Tahoma"/>
            <family val="2"/>
          </rPr>
          <t xml:space="preserve">
Reintegros a la TESOFE, de conformidad a los lineamientos
</t>
        </r>
      </text>
    </comment>
  </commentList>
</comments>
</file>

<file path=xl/sharedStrings.xml><?xml version="1.0" encoding="utf-8"?>
<sst xmlns="http://schemas.openxmlformats.org/spreadsheetml/2006/main" count="627" uniqueCount="185">
  <si>
    <t>PROGRAMAS EN CONCURRENCIA</t>
  </si>
  <si>
    <t>RADICADO</t>
  </si>
  <si>
    <t>COMPROMETIDO</t>
  </si>
  <si>
    <t>PAGADO</t>
  </si>
  <si>
    <t>FEDERAL</t>
  </si>
  <si>
    <t>ESTATAL</t>
  </si>
  <si>
    <t>TOTAL</t>
  </si>
  <si>
    <t>PROYECTOS PRODUCTIVOS AGRICOLAS</t>
  </si>
  <si>
    <t>GASTOS OPERACION</t>
  </si>
  <si>
    <t xml:space="preserve">GASTOS  EVALUACION </t>
  </si>
  <si>
    <t>PROYECTOS PRODUCTIVOS PECUARIOS</t>
  </si>
  <si>
    <t>PROYECTOS PRODUCTIVOS PESCA Y ACUICOLAS</t>
  </si>
  <si>
    <t>GASTOS  SUPERVISION</t>
  </si>
  <si>
    <t>GASTOS PDI</t>
  </si>
  <si>
    <t>GASTOS DE DIFUSION</t>
  </si>
  <si>
    <t>PROYECTO ESTRATEGICO DE SEGURIDAD ALIMENTARIA (PESA)</t>
  </si>
  <si>
    <t>INSPECCION DE LA MOVILIZACION</t>
  </si>
  <si>
    <t>PROGRAMA DE SANIDAD E INOCUIDAD AGROALIMENTARIA</t>
  </si>
  <si>
    <t>SUBTOTAL AGRICOLA</t>
  </si>
  <si>
    <t>SUBTOTAL PECUARIO</t>
  </si>
  <si>
    <t>SUBTOTAL ACUICOLA</t>
  </si>
  <si>
    <t>SUBTOTAL SANIDADES</t>
  </si>
  <si>
    <t>SUBTOTAL INOCUIDAD</t>
  </si>
  <si>
    <t>SUBTOTAL  INSPECCIÓN</t>
  </si>
  <si>
    <t>EXTENSIONISMO</t>
  </si>
  <si>
    <t>GASTOS OPERACIÓN GOB ESTADO</t>
  </si>
  <si>
    <t>GASTOS OPERACIÓN FEDERACIÓN</t>
  </si>
  <si>
    <t>Infraestructura Productiva para el Aprovechamiento Sustentable de Suelo y Agua</t>
  </si>
  <si>
    <t>TOTAL PROGRAMA DE CONCURRENCIA CON LAS ENTIDADES FEDERATIVAS</t>
  </si>
  <si>
    <t>TOTAL EXTENSIONISMO</t>
  </si>
  <si>
    <t>TOTAL IPASSA</t>
  </si>
  <si>
    <t>TOTAL PESA</t>
  </si>
  <si>
    <t>DECRETO DE AUSTERIDAD</t>
  </si>
  <si>
    <t>Gastos de Operación del Gobierno del Estado hasta el 1.37 %</t>
  </si>
  <si>
    <t>Gastos de Operación de la Delegación hasta el 0.7 %</t>
  </si>
  <si>
    <t>(1) Gasto para Supervisión a nivel central para la Unidad Responsable, hasta el 0.35%</t>
  </si>
  <si>
    <t>(1) Tecnologías de la Información y comunicaciones (TIC), hasta el 0.23%</t>
  </si>
  <si>
    <t>(1) Capacitación, hasta el 0.05%.</t>
  </si>
  <si>
    <t>(1) Otros gastos de la Unidad Responsable hasta el 0.35 %</t>
  </si>
  <si>
    <t>(1) Gasto de Evaluación hasta el 0.25 %</t>
  </si>
  <si>
    <t>(1) Gasto de Difusión hasta el 0.3 %</t>
  </si>
  <si>
    <t>(1) Sistema de Padrón Único de Beneficiarios hasta el 0.5 %</t>
  </si>
  <si>
    <t>(1) Proyectos Especiales hasta el 0.65 %</t>
  </si>
  <si>
    <t>(1) Disposiciones de Austeridad 0.25 %</t>
  </si>
  <si>
    <t>GASTOS OPERACIÓN (3.45%)</t>
  </si>
  <si>
    <t>GASTOS  SUPERVISION (.25%)</t>
  </si>
  <si>
    <t>GASTOS PDI (.65%)</t>
  </si>
  <si>
    <t>GASTOS  EVALUACION (.3%)</t>
  </si>
  <si>
    <t>GASTOS DE DIFUSION (.35%)</t>
  </si>
  <si>
    <t>S</t>
  </si>
  <si>
    <t>I</t>
  </si>
  <si>
    <t>M</t>
  </si>
  <si>
    <t>CONVENIDO</t>
  </si>
  <si>
    <t>GRAN TOTAL CONVENIADO</t>
  </si>
  <si>
    <t>TOTAL CONVENIADO CONCURRENCIA</t>
  </si>
  <si>
    <t>AVANCE FINANCIERO 2016</t>
  </si>
  <si>
    <t>Porcentaje de Avance Pagado vs Radicado</t>
  </si>
  <si>
    <t>Porcentaje de Avance Comprometido vs Radicado</t>
  </si>
  <si>
    <t>TOTAL SNIDRUS</t>
  </si>
  <si>
    <t>GO</t>
  </si>
  <si>
    <t>GE</t>
  </si>
  <si>
    <t>AGRICOLA</t>
  </si>
  <si>
    <t>PECUARIO</t>
  </si>
  <si>
    <t>PESCA</t>
  </si>
  <si>
    <t>FED GOB</t>
  </si>
  <si>
    <t>FED SAG</t>
  </si>
  <si>
    <t>FED TOT</t>
  </si>
  <si>
    <t>EST GOB</t>
  </si>
  <si>
    <t>EST SAG</t>
  </si>
  <si>
    <t>EST TOT</t>
  </si>
  <si>
    <t>EXT</t>
  </si>
  <si>
    <t>IPASSA</t>
  </si>
  <si>
    <t>SNIDRUS</t>
  </si>
  <si>
    <t>SANIDAD</t>
  </si>
  <si>
    <t>PESA</t>
  </si>
  <si>
    <t>INOCUIDAD</t>
  </si>
  <si>
    <t>SUBTOTAL</t>
  </si>
  <si>
    <t>MOVILIZACION</t>
  </si>
  <si>
    <t>DICE</t>
  </si>
  <si>
    <t>DE ACUERDO A LOS LINEAMIENTOS</t>
  </si>
  <si>
    <t>GASTOS DE SUPERVISIÓN</t>
  </si>
  <si>
    <t>USO DE SISTEMAS INFORMATICOS</t>
  </si>
  <si>
    <t>CAPACITACION</t>
  </si>
  <si>
    <t>SEGUIMIENTO Y VIGILANCIA</t>
  </si>
  <si>
    <t>APOYO A LA DELEGACIÓN</t>
  </si>
  <si>
    <t>EVALUACIÓN</t>
  </si>
  <si>
    <t>EV</t>
  </si>
  <si>
    <t>GASTOS OPERACIÓN</t>
  </si>
  <si>
    <t>GASTOS  EVALUACION</t>
  </si>
  <si>
    <t>Saldo a Comprometer</t>
  </si>
  <si>
    <t>UNIDADES DE RIEGO 2016</t>
  </si>
  <si>
    <t>DISTRITOS DE RIEGO 2016</t>
  </si>
  <si>
    <t>COTAS 2016</t>
  </si>
  <si>
    <t>UNIDADES DE RIEGO 2014*</t>
  </si>
  <si>
    <t>DISTRITOS DE RIEGO 2015*</t>
  </si>
  <si>
    <t>*En los programas de CONAGUA, el dato de la columna de convenido, corresponde al pasivo de los cierres del ejercicio, según corresponda.</t>
  </si>
  <si>
    <t xml:space="preserve">DESGLOSE DE GASTOS </t>
  </si>
  <si>
    <t>ACUACULTURA RURAL</t>
  </si>
  <si>
    <t>CONVENIO CONAPESCA</t>
  </si>
  <si>
    <t>CONVENIO CNA</t>
  </si>
  <si>
    <t>REPROGRAMADO</t>
  </si>
  <si>
    <t>PROGRAMAS EN CONCURRENCIA CON ENTIDADES FEDERATIVAS **</t>
  </si>
  <si>
    <t>INFORMACIÓN ESTADÍSTICA Y ESTUDIOS (SNIDRUS) ***</t>
  </si>
  <si>
    <t xml:space="preserve"> '- Se encuentran pendientes de radicar a la cuenta específica de los componentes de: 
            - Acuacultura Rural:  Se encuentra en proceso de radicación a la cuenta específica, dado que ya se encuentran radicados en la cta. concentradora $3,000,000.00 de origen estatal.
            - ** Los montos radicados, comprometidos y pagados del programa de concurrencia con Entidades Federativas, se encuentran en proceso de reclasificación entre las cuentas de pesca y acuacultura a pecuaria.
            -*** El recurso de Gastos de Operación del componente SNIDRUS será reclasificado de acuerdo al oficio emitido por el SIAP. </t>
  </si>
  <si>
    <t>DISTRITOS DE RIEGO 2014 *</t>
  </si>
  <si>
    <t>Monto a Pagar</t>
  </si>
  <si>
    <t>TOTAL PRODUCTIVIDAD RURAL</t>
  </si>
  <si>
    <t>UNIDADES DE RIEGO</t>
  </si>
  <si>
    <t>DISTRITOS DE RIEGO</t>
  </si>
  <si>
    <t>Porcentaje de Avance Pagado vs Generado</t>
  </si>
  <si>
    <t>Gastos de operación</t>
  </si>
  <si>
    <t>Gastos de evaluación</t>
  </si>
  <si>
    <t>AMPLIACIÓN DE METAS</t>
  </si>
  <si>
    <t>HONORARIOS FIDUCIARIOS</t>
  </si>
  <si>
    <t>COMPROMISO</t>
  </si>
  <si>
    <t>AUDITORÍAS</t>
  </si>
  <si>
    <t>GRAN TOTAL</t>
  </si>
  <si>
    <t>Saldo a Reintegrar</t>
  </si>
  <si>
    <t>REINTEGROS</t>
  </si>
  <si>
    <t>AVANCE FINANCIERO 2017</t>
  </si>
  <si>
    <t>UNIDADES DE RIEGO 2017</t>
  </si>
  <si>
    <t>DISTRITOS DE RIEGO 2017</t>
  </si>
  <si>
    <t>CAMPAÑAS FITOSANITARIAS</t>
  </si>
  <si>
    <t>INOCUIDAD AGROALIMENTARIA, ACUICOLA Y PESQUERA</t>
  </si>
  <si>
    <t>INSPECCION Y VIGILANCIA EPIDEMIOLOGICA DE PLAGAS Y ENFERMEDADES REGLAMENTADAS NO CUARENTENARIAS</t>
  </si>
  <si>
    <t>VIGILANCIA EPIDEMIOLOGICA DE PLAGAS Y ENFERMEDADES CUARENTENARIAS</t>
  </si>
  <si>
    <t>Paquetes Tecnológicos Agrícolas, Pecuarios, de Pesca y Acuícolas</t>
  </si>
  <si>
    <t>Extensionismo, Desarrollo de Capacidades y Asociatividad Productiva</t>
  </si>
  <si>
    <t>Proyecto de Seguridad Alimentaria para Zonas Rurales</t>
  </si>
  <si>
    <t>TOTAL PROGRAMA DE APOYO A PEQUEÑOS PRODUCTORES</t>
  </si>
  <si>
    <t>TEMPORAL TECNIFICADO 2017</t>
  </si>
  <si>
    <t>GASTOS GENERALES</t>
  </si>
  <si>
    <t>SUBTOTAL CAMPAÑAS FITOSANITARIAS</t>
  </si>
  <si>
    <t>EMERGENCIAS SANITARIAS</t>
  </si>
  <si>
    <t>SUBTOTAL INOCUIDAD AROALIMENTARIA, ACUICOLA Y PESQUERA</t>
  </si>
  <si>
    <t>CAPACITACIÓN</t>
  </si>
  <si>
    <t>SIMOSICA</t>
  </si>
  <si>
    <t>DIVULGACIÓN</t>
  </si>
  <si>
    <t>SUBTOTAL NO CUARENTENARIAS</t>
  </si>
  <si>
    <t>SUBTOTAL CUARENTENARIAS</t>
  </si>
  <si>
    <t>Gastos de Operación de la Delegación</t>
  </si>
  <si>
    <t>Gastos de Operación del Gob. Estado</t>
  </si>
  <si>
    <t>Evaluación</t>
  </si>
  <si>
    <t>Decreto de Austeridad</t>
  </si>
  <si>
    <t>Operación, Seguimiento y Supervisión (Delegación)</t>
  </si>
  <si>
    <t>Operación y Seguimiento (Gob. Edo)</t>
  </si>
  <si>
    <t>Evaluación Externa</t>
  </si>
  <si>
    <t xml:space="preserve">*Proyectos Transversales del Programa de Sanidad e Inocuidad (Emergencias sanitarias, Capacitación, SIMOSICA, Divulgación); </t>
  </si>
  <si>
    <t>pf estatales 2016</t>
  </si>
  <si>
    <t>unidaes de riego</t>
  </si>
  <si>
    <t>Materia Agrícola</t>
  </si>
  <si>
    <t>Materia Pecuaria</t>
  </si>
  <si>
    <t>Materia Acuacultura y Pesca</t>
  </si>
  <si>
    <t>Gasto de Operación</t>
  </si>
  <si>
    <t>Gasto de Evaluación</t>
  </si>
  <si>
    <t>INVERSIÓN</t>
  </si>
  <si>
    <t>OPERACIÓN</t>
  </si>
  <si>
    <t>INFRAESTRUCTURA</t>
  </si>
  <si>
    <t>PAQUETES</t>
  </si>
  <si>
    <t>OPERACIÓN INFRAESTRUCTURA</t>
  </si>
  <si>
    <t>OPERACIÓN PAQUETES</t>
  </si>
  <si>
    <t>EVALUACIÓN INFRAESTRUCTURA</t>
  </si>
  <si>
    <t>EVALUACIÓN PAQUETES</t>
  </si>
  <si>
    <t>Infraestructura, Equipamiento, Maquinaria y Material Biológico</t>
  </si>
  <si>
    <t>INFORMACIÓN ESTADÍSTICA Y ESTUDIOS (SNIDRUS)</t>
  </si>
  <si>
    <t>fed</t>
  </si>
  <si>
    <t>est</t>
  </si>
  <si>
    <t>GASTOS ADMINISTRATIVOS</t>
  </si>
  <si>
    <t>AVANCE FINANCIERO 2017
PRODUCTOS FINANCIEROS DE AMPLIACIÓN DE METAS</t>
  </si>
  <si>
    <t>TOTAL PAGADO</t>
  </si>
  <si>
    <t>COTAS</t>
  </si>
  <si>
    <t>Gastos de Operación del Gobierno del Estado hasta el 1.2 %</t>
  </si>
  <si>
    <t>Gastos de Operación de la Delegación hasta el 0.78 %</t>
  </si>
  <si>
    <t>(1) Gasto para Supervisión a nivel central para la Unidad Responsable, hasta el 0.30%</t>
  </si>
  <si>
    <t>(1) Tecnologías de la Información y comunicaciones (TIC), hasta el 0.44%</t>
  </si>
  <si>
    <t>(1) Capacitación, hasta el 0.06%.</t>
  </si>
  <si>
    <t>(1) Gasto de Evaluación hasta el 0.20 %</t>
  </si>
  <si>
    <t>(1) Proyectos Especiales hasta el 1.12 %</t>
  </si>
  <si>
    <t>Gastos de Ejecución por oficinas centrales*</t>
  </si>
  <si>
    <t>* Desglose de Gastos de Ejecución por Oficinas Centrales en el Componente de PSAZR</t>
  </si>
  <si>
    <t xml:space="preserve">(3) Servicios de asistencia técnica y soporte técnicometodológico, bajo la metodología FAO, hasta el 2.0% de los recursos asignados al componente. </t>
  </si>
  <si>
    <t>(4) Acciones de inducción, fomento y fortalecimiento sobre esquemas de asociatividad y alianzas de negocios; desarrollo de proyectos, aspectos empresariales, comerciales, giras tecnológicas, talleres, encuentros, foros, exposiciones, convenciones, bajo metodologías de Instancias Nacionales o Internacionales, la Unidad Responsable utilizará hasta el 1% de los recursos asignados al componente en el PEF</t>
  </si>
  <si>
    <t>GENERADO 31 DE AGOSTO 2017</t>
  </si>
  <si>
    <t>TOTAL COMPROMETIDO</t>
  </si>
  <si>
    <t xml:space="preserve">* Se tiene radicaciones federales por depositar a las cuentas específicas:
Distritos de Riego: 1,777,617.20, 830,235.49 y 1,424,351.16 entregadas en Fiduciario para su trámite 
'* Se tiene radicaciones estatales por depositar a las cuentas específicas: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</si>
</sst>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0000000_-;\-* #,##0.00000000000_-;_-* &quot;-&quot;??_-;_-@_-"/>
    <numFmt numFmtId="166" formatCode="0.0%"/>
    <numFmt numFmtId="167" formatCode="_-* #,##0.000000000000000_-;\-* #,##0.000000000000000_-;_-* &quot;-&quot;??_-;_-@_-"/>
    <numFmt numFmtId="168" formatCode="_-* #,##0.00000000000000000000_-;\-* #,##0.00000000000000000000_-;_-* &quot;-&quot;??_-;_-@_-"/>
    <numFmt numFmtId="169" formatCode="_-* #,##0.0000000000000000000000_-;\-* #,##0.0000000000000000000000_-;_-* &quot;-&quot;??_-;_-@_-"/>
    <numFmt numFmtId="170" formatCode="0.000%"/>
    <numFmt numFmtId="171" formatCode="_(* #,##0.00_);_(* \(#,##0.00\);_(* &quot;-&quot;??_);_(@_)"/>
    <numFmt numFmtId="172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10"/>
      <name val="Courier"/>
      <family val="3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2" fillId="0" borderId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164" fontId="0" fillId="0" borderId="0" xfId="1" applyNumberFormat="1" applyFont="1"/>
    <xf numFmtId="164" fontId="0" fillId="4" borderId="0" xfId="1" applyNumberFormat="1" applyFont="1" applyFill="1"/>
    <xf numFmtId="43" fontId="0" fillId="0" borderId="0" xfId="1" applyFont="1"/>
    <xf numFmtId="164" fontId="4" fillId="0" borderId="1" xfId="1" applyNumberFormat="1" applyFont="1" applyFill="1" applyBorder="1" applyAlignment="1">
      <alignment vertical="center" wrapText="1"/>
    </xf>
    <xf numFmtId="164" fontId="8" fillId="0" borderId="0" xfId="1" applyNumberFormat="1" applyFont="1"/>
    <xf numFmtId="164" fontId="2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vertical="center" wrapText="1"/>
    </xf>
    <xf numFmtId="43" fontId="0" fillId="0" borderId="0" xfId="1" applyFont="1" applyAlignment="1">
      <alignment vertical="center" wrapText="1"/>
    </xf>
    <xf numFmtId="9" fontId="0" fillId="0" borderId="0" xfId="7" applyNumberFormat="1" applyFont="1" applyAlignment="1">
      <alignment vertical="center" wrapText="1"/>
    </xf>
    <xf numFmtId="10" fontId="0" fillId="0" borderId="0" xfId="7" applyNumberFormat="1" applyFont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 wrapText="1"/>
    </xf>
    <xf numFmtId="9" fontId="4" fillId="3" borderId="1" xfId="7" applyNumberFormat="1" applyFont="1" applyFill="1" applyBorder="1" applyAlignment="1">
      <alignment horizontal="center" vertical="center" wrapText="1"/>
    </xf>
    <xf numFmtId="10" fontId="4" fillId="3" borderId="1" xfId="7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9" fontId="6" fillId="0" borderId="1" xfId="7" applyNumberFormat="1" applyFont="1" applyFill="1" applyBorder="1" applyAlignment="1">
      <alignment vertical="center" wrapText="1"/>
    </xf>
    <xf numFmtId="10" fontId="6" fillId="0" borderId="1" xfId="7" applyNumberFormat="1" applyFont="1" applyFill="1" applyBorder="1" applyAlignment="1">
      <alignment vertical="center" wrapText="1"/>
    </xf>
    <xf numFmtId="43" fontId="0" fillId="0" borderId="0" xfId="1" applyFont="1" applyAlignment="1">
      <alignment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vertical="center" wrapText="1"/>
    </xf>
    <xf numFmtId="164" fontId="0" fillId="4" borderId="0" xfId="1" applyNumberFormat="1" applyFont="1" applyFill="1" applyAlignment="1">
      <alignment vertical="center" wrapText="1"/>
    </xf>
    <xf numFmtId="43" fontId="6" fillId="4" borderId="1" xfId="1" applyFont="1" applyFill="1" applyBorder="1" applyAlignment="1">
      <alignment vertical="center" wrapText="1"/>
    </xf>
    <xf numFmtId="9" fontId="6" fillId="4" borderId="1" xfId="7" applyNumberFormat="1" applyFont="1" applyFill="1" applyBorder="1" applyAlignment="1">
      <alignment vertical="center" wrapText="1"/>
    </xf>
    <xf numFmtId="10" fontId="6" fillId="4" borderId="1" xfId="7" applyNumberFormat="1" applyFont="1" applyFill="1" applyBorder="1" applyAlignment="1">
      <alignment vertical="center" wrapText="1"/>
    </xf>
    <xf numFmtId="165" fontId="0" fillId="0" borderId="0" xfId="7" applyNumberFormat="1" applyFont="1" applyAlignment="1">
      <alignment wrapText="1"/>
    </xf>
    <xf numFmtId="164" fontId="4" fillId="2" borderId="1" xfId="1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9" fontId="4" fillId="2" borderId="1" xfId="7" applyNumberFormat="1" applyFont="1" applyFill="1" applyBorder="1" applyAlignment="1">
      <alignment vertical="center" wrapText="1"/>
    </xf>
    <xf numFmtId="10" fontId="4" fillId="2" borderId="1" xfId="7" applyNumberFormat="1" applyFont="1" applyFill="1" applyBorder="1" applyAlignment="1">
      <alignment vertical="center" wrapText="1"/>
    </xf>
    <xf numFmtId="10" fontId="6" fillId="0" borderId="1" xfId="7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8" fillId="0" borderId="0" xfId="1" applyFont="1" applyAlignment="1">
      <alignment vertical="center" wrapText="1"/>
    </xf>
    <xf numFmtId="9" fontId="7" fillId="0" borderId="1" xfId="7" applyNumberFormat="1" applyFont="1" applyFill="1" applyBorder="1" applyAlignment="1">
      <alignment vertical="center" wrapText="1"/>
    </xf>
    <xf numFmtId="164" fontId="8" fillId="0" borderId="0" xfId="1" applyNumberFormat="1" applyFont="1" applyAlignment="1">
      <alignment wrapText="1"/>
    </xf>
    <xf numFmtId="165" fontId="8" fillId="0" borderId="0" xfId="1" applyNumberFormat="1" applyFont="1" applyAlignment="1">
      <alignment wrapText="1"/>
    </xf>
    <xf numFmtId="10" fontId="7" fillId="0" borderId="1" xfId="7" applyNumberFormat="1" applyFont="1" applyFill="1" applyBorder="1" applyAlignment="1">
      <alignment vertical="center" wrapText="1"/>
    </xf>
    <xf numFmtId="0" fontId="4" fillId="2" borderId="1" xfId="7" applyNumberFormat="1" applyFont="1" applyFill="1" applyBorder="1" applyAlignment="1">
      <alignment vertical="center" wrapText="1"/>
    </xf>
    <xf numFmtId="164" fontId="0" fillId="4" borderId="0" xfId="1" applyNumberFormat="1" applyFont="1" applyFill="1" applyAlignment="1">
      <alignment wrapText="1"/>
    </xf>
    <xf numFmtId="165" fontId="0" fillId="4" borderId="0" xfId="1" applyNumberFormat="1" applyFont="1" applyFill="1" applyAlignment="1">
      <alignment wrapText="1"/>
    </xf>
    <xf numFmtId="164" fontId="6" fillId="0" borderId="0" xfId="1" applyNumberFormat="1" applyFont="1" applyBorder="1" applyAlignment="1">
      <alignment vertical="center" wrapText="1"/>
    </xf>
    <xf numFmtId="43" fontId="6" fillId="0" borderId="0" xfId="1" applyFont="1" applyBorder="1" applyAlignment="1">
      <alignment vertical="center" wrapText="1"/>
    </xf>
    <xf numFmtId="9" fontId="6" fillId="0" borderId="0" xfId="7" applyNumberFormat="1" applyFont="1" applyBorder="1" applyAlignment="1">
      <alignment vertical="center" wrapText="1"/>
    </xf>
    <xf numFmtId="10" fontId="6" fillId="0" borderId="0" xfId="7" applyNumberFormat="1" applyFont="1" applyBorder="1" applyAlignment="1">
      <alignment vertical="center" wrapText="1"/>
    </xf>
    <xf numFmtId="9" fontId="0" fillId="0" borderId="0" xfId="7" applyNumberFormat="1" applyFont="1" applyAlignment="1">
      <alignment wrapText="1"/>
    </xf>
    <xf numFmtId="10" fontId="0" fillId="0" borderId="0" xfId="7" applyNumberFormat="1" applyFont="1" applyAlignment="1">
      <alignment wrapText="1"/>
    </xf>
    <xf numFmtId="43" fontId="0" fillId="0" borderId="0" xfId="1" applyFont="1" applyAlignment="1">
      <alignment horizontal="right" wrapText="1"/>
    </xf>
    <xf numFmtId="43" fontId="0" fillId="0" borderId="0" xfId="7" applyNumberFormat="1" applyFont="1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Alignment="1">
      <alignment horizontal="right"/>
    </xf>
    <xf numFmtId="166" fontId="0" fillId="0" borderId="0" xfId="7" applyNumberFormat="1" applyFont="1"/>
    <xf numFmtId="10" fontId="0" fillId="0" borderId="0" xfId="7" applyNumberFormat="1" applyFont="1"/>
    <xf numFmtId="43" fontId="0" fillId="0" borderId="0" xfId="1" applyFont="1" applyAlignment="1">
      <alignment horizontal="center"/>
    </xf>
    <xf numFmtId="168" fontId="0" fillId="0" borderId="0" xfId="1" applyNumberFormat="1" applyFont="1"/>
    <xf numFmtId="169" fontId="0" fillId="0" borderId="0" xfId="1" applyNumberFormat="1" applyFont="1"/>
    <xf numFmtId="167" fontId="0" fillId="0" borderId="0" xfId="0" applyNumberFormat="1"/>
    <xf numFmtId="169" fontId="0" fillId="0" borderId="0" xfId="0" applyNumberFormat="1"/>
    <xf numFmtId="170" fontId="0" fillId="0" borderId="0" xfId="7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9" fontId="2" fillId="0" borderId="0" xfId="7" applyFont="1" applyAlignment="1">
      <alignment vertical="center" wrapText="1"/>
    </xf>
    <xf numFmtId="9" fontId="0" fillId="0" borderId="0" xfId="7" applyFont="1" applyAlignment="1">
      <alignment vertical="center" wrapText="1"/>
    </xf>
    <xf numFmtId="9" fontId="4" fillId="3" borderId="1" xfId="7" applyFont="1" applyFill="1" applyBorder="1" applyAlignment="1">
      <alignment horizontal="center" vertical="center" wrapText="1"/>
    </xf>
    <xf numFmtId="9" fontId="0" fillId="0" borderId="0" xfId="7" applyFont="1"/>
    <xf numFmtId="9" fontId="6" fillId="0" borderId="1" xfId="7" applyFont="1" applyFill="1" applyBorder="1" applyAlignment="1">
      <alignment vertical="center" wrapText="1"/>
    </xf>
    <xf numFmtId="9" fontId="0" fillId="0" borderId="0" xfId="7" applyFont="1" applyAlignment="1">
      <alignment wrapText="1"/>
    </xf>
    <xf numFmtId="43" fontId="11" fillId="0" borderId="0" xfId="1" applyFont="1" applyAlignment="1">
      <alignment wrapText="1"/>
    </xf>
    <xf numFmtId="43" fontId="3" fillId="2" borderId="1" xfId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 wrapText="1"/>
    </xf>
    <xf numFmtId="43" fontId="16" fillId="0" borderId="0" xfId="1" applyFont="1" applyAlignment="1">
      <alignment vertical="center" wrapText="1"/>
    </xf>
    <xf numFmtId="43" fontId="17" fillId="0" borderId="0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43" fontId="18" fillId="0" borderId="0" xfId="1" applyFont="1" applyFill="1" applyAlignment="1">
      <alignment wrapText="1"/>
    </xf>
    <xf numFmtId="43" fontId="19" fillId="0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vertical="center" wrapText="1"/>
    </xf>
    <xf numFmtId="43" fontId="4" fillId="4" borderId="1" xfId="1" applyFont="1" applyFill="1" applyBorder="1" applyAlignment="1">
      <alignment vertical="center" wrapText="1"/>
    </xf>
    <xf numFmtId="10" fontId="4" fillId="4" borderId="1" xfId="7" applyNumberFormat="1" applyFont="1" applyFill="1" applyBorder="1" applyAlignment="1">
      <alignment vertical="center" wrapText="1"/>
    </xf>
    <xf numFmtId="10" fontId="0" fillId="4" borderId="0" xfId="7" applyNumberFormat="1" applyFont="1" applyFill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164" fontId="4" fillId="3" borderId="3" xfId="1" applyNumberFormat="1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 wrapText="1"/>
    </xf>
    <xf numFmtId="43" fontId="4" fillId="3" borderId="4" xfId="1" applyFont="1" applyFill="1" applyBorder="1" applyAlignment="1">
      <alignment vertical="center" wrapText="1"/>
    </xf>
    <xf numFmtId="43" fontId="18" fillId="0" borderId="0" xfId="1" applyFont="1" applyAlignment="1">
      <alignment wrapText="1"/>
    </xf>
    <xf numFmtId="164" fontId="4" fillId="3" borderId="0" xfId="1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6" fillId="0" borderId="7" xfId="1" applyFont="1" applyFill="1" applyBorder="1" applyAlignment="1">
      <alignment vertical="center" wrapText="1"/>
    </xf>
    <xf numFmtId="43" fontId="6" fillId="0" borderId="8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14" fontId="2" fillId="0" borderId="0" xfId="1" applyNumberFormat="1" applyFont="1" applyAlignment="1">
      <alignment vertical="center" wrapText="1"/>
    </xf>
    <xf numFmtId="164" fontId="6" fillId="11" borderId="1" xfId="6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43" fontId="4" fillId="0" borderId="0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14" fillId="5" borderId="2" xfId="1" applyFont="1" applyFill="1" applyBorder="1" applyAlignment="1">
      <alignment horizontal="center" vertical="center" wrapText="1"/>
    </xf>
    <xf numFmtId="43" fontId="4" fillId="12" borderId="1" xfId="1" applyFont="1" applyFill="1" applyBorder="1" applyAlignment="1">
      <alignment vertical="center" wrapText="1"/>
    </xf>
    <xf numFmtId="43" fontId="4" fillId="10" borderId="1" xfId="1" applyFont="1" applyFill="1" applyBorder="1" applyAlignment="1">
      <alignment vertical="center" wrapText="1"/>
    </xf>
    <xf numFmtId="43" fontId="4" fillId="3" borderId="3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vertical="center" wrapText="1"/>
    </xf>
    <xf numFmtId="43" fontId="19" fillId="0" borderId="5" xfId="1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vertical="center" wrapText="1"/>
    </xf>
    <xf numFmtId="43" fontId="4" fillId="3" borderId="13" xfId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vertical="center" wrapText="1"/>
    </xf>
    <xf numFmtId="43" fontId="4" fillId="3" borderId="16" xfId="1" applyFont="1" applyFill="1" applyBorder="1" applyAlignment="1">
      <alignment vertical="center" wrapText="1"/>
    </xf>
    <xf numFmtId="43" fontId="4" fillId="4" borderId="13" xfId="1" applyFont="1" applyFill="1" applyBorder="1" applyAlignment="1">
      <alignment vertical="center" wrapText="1"/>
    </xf>
    <xf numFmtId="43" fontId="4" fillId="4" borderId="14" xfId="1" applyFont="1" applyFill="1" applyBorder="1" applyAlignment="1">
      <alignment vertical="center" wrapText="1"/>
    </xf>
    <xf numFmtId="43" fontId="6" fillId="0" borderId="13" xfId="1" applyFont="1" applyFill="1" applyBorder="1" applyAlignment="1">
      <alignment vertical="center" wrapText="1"/>
    </xf>
    <xf numFmtId="43" fontId="6" fillId="0" borderId="14" xfId="1" applyFont="1" applyFill="1" applyBorder="1" applyAlignment="1">
      <alignment vertical="center" wrapText="1"/>
    </xf>
    <xf numFmtId="43" fontId="4" fillId="2" borderId="13" xfId="1" applyFont="1" applyFill="1" applyBorder="1" applyAlignment="1">
      <alignment vertical="center" wrapText="1"/>
    </xf>
    <xf numFmtId="43" fontId="4" fillId="2" borderId="14" xfId="1" applyFont="1" applyFill="1" applyBorder="1" applyAlignment="1">
      <alignment vertical="center" wrapText="1"/>
    </xf>
    <xf numFmtId="43" fontId="4" fillId="2" borderId="17" xfId="1" applyFont="1" applyFill="1" applyBorder="1" applyAlignment="1">
      <alignment vertical="center" wrapText="1"/>
    </xf>
    <xf numFmtId="43" fontId="4" fillId="2" borderId="18" xfId="1" applyFont="1" applyFill="1" applyBorder="1" applyAlignment="1">
      <alignment vertical="center" wrapText="1"/>
    </xf>
    <xf numFmtId="43" fontId="4" fillId="2" borderId="19" xfId="1" applyFont="1" applyFill="1" applyBorder="1" applyAlignment="1">
      <alignment vertical="center" wrapText="1"/>
    </xf>
    <xf numFmtId="10" fontId="3" fillId="2" borderId="3" xfId="7" applyNumberFormat="1" applyFont="1" applyFill="1" applyBorder="1" applyAlignment="1">
      <alignment horizontal="center" vertical="center" wrapText="1"/>
    </xf>
    <xf numFmtId="10" fontId="3" fillId="2" borderId="4" xfId="7" applyNumberFormat="1" applyFont="1" applyFill="1" applyBorder="1" applyAlignment="1">
      <alignment horizontal="center" vertical="center" wrapText="1"/>
    </xf>
    <xf numFmtId="10" fontId="3" fillId="2" borderId="5" xfId="7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9" fontId="12" fillId="0" borderId="0" xfId="1" quotePrefix="1" applyNumberFormat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top" wrapText="1"/>
    </xf>
    <xf numFmtId="49" fontId="20" fillId="0" borderId="0" xfId="1" quotePrefix="1" applyNumberFormat="1" applyFont="1" applyAlignment="1">
      <alignment horizontal="left" vertical="top" wrapText="1"/>
    </xf>
    <xf numFmtId="49" fontId="20" fillId="0" borderId="0" xfId="1" applyNumberFormat="1" applyFont="1" applyAlignment="1">
      <alignment horizontal="left" vertical="top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9" fontId="11" fillId="0" borderId="0" xfId="1" quotePrefix="1" applyNumberFormat="1" applyFont="1" applyAlignment="1">
      <alignment horizontal="left" wrapText="1"/>
    </xf>
    <xf numFmtId="49" fontId="11" fillId="0" borderId="0" xfId="1" applyNumberFormat="1" applyFont="1" applyAlignment="1">
      <alignment horizontal="left" wrapText="1"/>
    </xf>
    <xf numFmtId="49" fontId="12" fillId="0" borderId="0" xfId="1" quotePrefix="1" applyNumberFormat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top" wrapText="1"/>
    </xf>
    <xf numFmtId="9" fontId="3" fillId="2" borderId="3" xfId="7" applyNumberFormat="1" applyFont="1" applyFill="1" applyBorder="1" applyAlignment="1">
      <alignment horizontal="center" vertical="center" wrapText="1"/>
    </xf>
    <xf numFmtId="9" fontId="3" fillId="2" borderId="4" xfId="7" applyNumberFormat="1" applyFont="1" applyFill="1" applyBorder="1" applyAlignment="1">
      <alignment horizontal="center" vertical="center" wrapText="1"/>
    </xf>
    <xf numFmtId="9" fontId="3" fillId="2" borderId="5" xfId="7" applyNumberFormat="1" applyFont="1" applyFill="1" applyBorder="1" applyAlignment="1">
      <alignment horizontal="center" vertical="center" wrapText="1"/>
    </xf>
    <xf numFmtId="10" fontId="3" fillId="2" borderId="3" xfId="7" applyNumberFormat="1" applyFont="1" applyFill="1" applyBorder="1" applyAlignment="1">
      <alignment horizontal="center" vertical="center" wrapText="1"/>
    </xf>
    <xf numFmtId="10" fontId="3" fillId="2" borderId="4" xfId="7" applyNumberFormat="1" applyFont="1" applyFill="1" applyBorder="1" applyAlignment="1">
      <alignment horizontal="center" vertical="center" wrapText="1"/>
    </xf>
    <xf numFmtId="10" fontId="3" fillId="2" borderId="5" xfId="7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wrapText="1"/>
    </xf>
    <xf numFmtId="14" fontId="0" fillId="0" borderId="2" xfId="1" applyNumberFormat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0" fillId="2" borderId="0" xfId="1" applyNumberFormat="1" applyFont="1" applyFill="1" applyAlignment="1">
      <alignment horizontal="center" wrapText="1"/>
    </xf>
    <xf numFmtId="0" fontId="7" fillId="11" borderId="0" xfId="0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9" fontId="14" fillId="0" borderId="0" xfId="1" quotePrefix="1" applyNumberFormat="1" applyFont="1" applyAlignment="1">
      <alignment horizontal="left" vertical="center" wrapText="1"/>
    </xf>
    <xf numFmtId="49" fontId="14" fillId="0" borderId="0" xfId="1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3" fontId="14" fillId="5" borderId="2" xfId="1" applyFont="1" applyFill="1" applyBorder="1" applyAlignment="1">
      <alignment horizontal="center" vertical="center" wrapText="1"/>
    </xf>
    <xf numFmtId="9" fontId="0" fillId="0" borderId="2" xfId="7" applyFont="1" applyBorder="1" applyAlignment="1">
      <alignment horizontal="center" vertical="center" wrapText="1"/>
    </xf>
    <xf numFmtId="9" fontId="3" fillId="2" borderId="1" xfId="7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10" fontId="3" fillId="2" borderId="1" xfId="7" applyNumberFormat="1" applyFont="1" applyFill="1" applyBorder="1" applyAlignment="1">
      <alignment horizontal="center" vertical="center" wrapText="1"/>
    </xf>
    <xf numFmtId="10" fontId="6" fillId="0" borderId="7" xfId="7" applyNumberFormat="1" applyFont="1" applyFill="1" applyBorder="1" applyAlignment="1">
      <alignment horizontal="center" vertical="center" wrapText="1"/>
    </xf>
    <xf numFmtId="10" fontId="6" fillId="0" borderId="8" xfId="7" applyNumberFormat="1" applyFont="1" applyFill="1" applyBorder="1" applyAlignment="1">
      <alignment horizontal="center" vertical="center" wrapText="1"/>
    </xf>
    <xf numFmtId="10" fontId="6" fillId="0" borderId="9" xfId="7" applyNumberFormat="1" applyFont="1" applyFill="1" applyBorder="1" applyAlignment="1">
      <alignment horizontal="center" vertical="center" wrapText="1"/>
    </xf>
    <xf numFmtId="43" fontId="14" fillId="10" borderId="2" xfId="1" applyFont="1" applyFill="1" applyBorder="1" applyAlignment="1">
      <alignment horizontal="center" vertical="center" wrapText="1"/>
    </xf>
  </cellXfs>
  <cellStyles count="32">
    <cellStyle name="Euro" xfId="10"/>
    <cellStyle name="Euro 2" xfId="11"/>
    <cellStyle name="Millares" xfId="1" builtinId="3"/>
    <cellStyle name="Millares 10" xfId="12"/>
    <cellStyle name="Millares 2" xfId="6"/>
    <cellStyle name="Millares 2 2" xfId="14"/>
    <cellStyle name="Millares 2 3" xfId="13"/>
    <cellStyle name="Millares 3" xfId="15"/>
    <cellStyle name="Millares 3 2" xfId="16"/>
    <cellStyle name="Millares 4" xfId="17"/>
    <cellStyle name="Millares 4 2" xfId="18"/>
    <cellStyle name="Millares 5" xfId="8"/>
    <cellStyle name="Millares 5 2" xfId="19"/>
    <cellStyle name="Millares 6" xfId="20"/>
    <cellStyle name="Millares 6 2" xfId="21"/>
    <cellStyle name="Millares 7" xfId="22"/>
    <cellStyle name="Millares 8" xfId="31"/>
    <cellStyle name="Moneda 2" xfId="5"/>
    <cellStyle name="Moneda 2 2" xfId="23"/>
    <cellStyle name="Moneda 3" xfId="4"/>
    <cellStyle name="No-definido" xfId="24"/>
    <cellStyle name="Normal" xfId="0" builtinId="0"/>
    <cellStyle name="Normal 2" xfId="3"/>
    <cellStyle name="Normal 2 2" xfId="2"/>
    <cellStyle name="Normal 3" xfId="25"/>
    <cellStyle name="Normal 4" xfId="26"/>
    <cellStyle name="Normal 5" xfId="30"/>
    <cellStyle name="Normal 6" xfId="9"/>
    <cellStyle name="Porcentaje" xfId="7" builtinId="5"/>
    <cellStyle name="Porcentual 2" xfId="27"/>
    <cellStyle name="Porcentual 2 2" xfId="28"/>
    <cellStyle name="Porcentual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ALDOS%20POR%20PROGRAMAS%20@%202016%20CORRECCION%20GASTOS%20DE%20OPERACION%20FED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COLA"/>
      <sheetName val="PECUARIO"/>
      <sheetName val="PESCA Y ACUICOLA"/>
      <sheetName val="IPASSA"/>
      <sheetName val="PESA"/>
      <sheetName val="EXTENSIONISMO"/>
      <sheetName val="SANIDADES"/>
      <sheetName val="INOCUIDAD"/>
      <sheetName val="INSPECCION A LA MOVILIZACION"/>
      <sheetName val="SNIDRUS"/>
      <sheetName val="ACUACULTURA RURAL"/>
      <sheetName val="UNIDADES DE RIEGO"/>
      <sheetName val="COTAS"/>
      <sheetName val="DISTRITOS DE RIEGO"/>
      <sheetName val="GOE SEDARH"/>
      <sheetName val="GOE SAGARPA"/>
      <sheetName val="SUPERVISION"/>
      <sheetName val="PDI"/>
      <sheetName val="DIFUSION"/>
      <sheetName val="GASTOS DE EVALUACION"/>
      <sheetName val="ACUMULADO INVERSION 2016"/>
      <sheetName val="SALDO EN BANCOS"/>
      <sheetName val="RESUMEN"/>
      <sheetName val="SALDOS A DEVENG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1">
          <cell r="Z111">
            <v>44235696.810000002</v>
          </cell>
        </row>
        <row r="120">
          <cell r="Z120">
            <v>0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view="pageBreakPreview" zoomScale="118" zoomScaleNormal="106" zoomScaleSheetLayoutView="118" workbookViewId="0">
      <pane xSplit="1" ySplit="3" topLeftCell="C67" activePane="bottomRight" state="frozen"/>
      <selection pane="topRight" activeCell="B1" sqref="B1"/>
      <selection pane="bottomLeft" activeCell="A4" sqref="A4"/>
      <selection pane="bottomRight" activeCell="A167" sqref="A167:T167"/>
    </sheetView>
  </sheetViews>
  <sheetFormatPr baseColWidth="10" defaultColWidth="11.42578125" defaultRowHeight="15" x14ac:dyDescent="0.25"/>
  <cols>
    <col min="1" max="1" width="43.140625" style="7" bestFit="1" customWidth="1"/>
    <col min="2" max="2" width="1.140625" style="7" hidden="1" customWidth="1"/>
    <col min="3" max="3" width="24.42578125" style="21" bestFit="1" customWidth="1"/>
    <col min="4" max="4" width="17.7109375" style="21" customWidth="1"/>
    <col min="5" max="5" width="18.28515625" style="21" bestFit="1" customWidth="1"/>
    <col min="6" max="8" width="18.28515625" style="21" customWidth="1"/>
    <col min="9" max="9" width="14.5703125" style="21" bestFit="1" customWidth="1"/>
    <col min="10" max="10" width="19.42578125" style="21" customWidth="1"/>
    <col min="11" max="11" width="19" style="21" customWidth="1"/>
    <col min="12" max="13" width="32.5703125" style="21" hidden="1" customWidth="1"/>
    <col min="14" max="14" width="14.42578125" style="21" bestFit="1" customWidth="1"/>
    <col min="15" max="15" width="13.5703125" style="21" bestFit="1" customWidth="1"/>
    <col min="16" max="16" width="14.5703125" style="21" bestFit="1" customWidth="1"/>
    <col min="17" max="17" width="0.7109375" style="21" customWidth="1"/>
    <col min="18" max="18" width="14.42578125" style="21" bestFit="1" customWidth="1"/>
    <col min="19" max="19" width="13.5703125" style="21" bestFit="1" customWidth="1"/>
    <col min="20" max="20" width="15.5703125" style="21" bestFit="1" customWidth="1"/>
    <col min="21" max="21" width="3.7109375" style="7" bestFit="1" customWidth="1"/>
    <col min="22" max="22" width="1.5703125" style="7" customWidth="1"/>
    <col min="23" max="23" width="0" style="7" hidden="1" customWidth="1"/>
    <col min="24" max="25" width="15" style="8" hidden="1" customWidth="1"/>
    <col min="26" max="26" width="15" style="50" bestFit="1" customWidth="1"/>
    <col min="27" max="28" width="14.85546875" style="50" bestFit="1" customWidth="1"/>
    <col min="29" max="29" width="2" style="50" hidden="1" customWidth="1"/>
    <col min="30" max="30" width="2" style="50" customWidth="1"/>
    <col min="31" max="31" width="10.7109375" style="49" customWidth="1"/>
    <col min="32" max="32" width="11.28515625" style="49" customWidth="1"/>
    <col min="33" max="33" width="13.28515625" style="49" customWidth="1"/>
    <col min="34" max="34" width="2" style="50" hidden="1" customWidth="1"/>
    <col min="35" max="35" width="2" style="50" customWidth="1"/>
    <col min="36" max="36" width="13.140625" style="21" bestFit="1" customWidth="1"/>
    <col min="37" max="37" width="12.28515625" style="21" bestFit="1" customWidth="1"/>
    <col min="38" max="38" width="13.140625" style="21" bestFit="1" customWidth="1"/>
    <col min="39" max="39" width="9" style="7" bestFit="1" customWidth="1"/>
    <col min="40" max="40" width="8" style="7" bestFit="1" customWidth="1"/>
    <col min="41" max="41" width="21.7109375" style="7" customWidth="1"/>
    <col min="42" max="44" width="13.28515625" style="7" bestFit="1" customWidth="1"/>
    <col min="45" max="46" width="11.5703125" style="7" bestFit="1" customWidth="1"/>
    <col min="47" max="47" width="13.28515625" style="7" bestFit="1" customWidth="1"/>
    <col min="48" max="48" width="17.42578125" style="7" customWidth="1"/>
    <col min="49" max="50" width="11.42578125" style="1"/>
    <col min="51" max="51" width="13.5703125" style="1" bestFit="1" customWidth="1"/>
    <col min="52" max="52" width="11.85546875" style="1" bestFit="1" customWidth="1"/>
    <col min="53" max="53" width="11.5703125" style="1" bestFit="1" customWidth="1"/>
    <col min="54" max="16384" width="11.42578125" style="1"/>
  </cols>
  <sheetData>
    <row r="1" spans="1:49" ht="18" x14ac:dyDescent="0.25">
      <c r="A1" s="169" t="s">
        <v>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6"/>
      <c r="Z1" s="7"/>
      <c r="AA1" s="7"/>
      <c r="AB1" s="7"/>
      <c r="AC1" s="7"/>
      <c r="AD1" s="7"/>
      <c r="AE1" s="6"/>
      <c r="AF1" s="6"/>
      <c r="AG1" s="6"/>
      <c r="AH1" s="7"/>
      <c r="AI1" s="7"/>
    </row>
    <row r="2" spans="1:49" ht="18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Z2" s="7"/>
      <c r="AA2" s="7"/>
      <c r="AB2" s="7"/>
      <c r="AC2" s="7"/>
      <c r="AD2" s="7"/>
      <c r="AE2" s="6"/>
      <c r="AF2" s="6"/>
      <c r="AG2" s="6"/>
      <c r="AH2" s="7"/>
      <c r="AI2" s="7"/>
      <c r="AJ2" s="6"/>
      <c r="AK2" s="6"/>
      <c r="AL2" s="6"/>
    </row>
    <row r="3" spans="1:49" ht="18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Z3" s="7"/>
      <c r="AA3" s="7"/>
      <c r="AB3" s="7"/>
      <c r="AC3" s="7"/>
      <c r="AD3" s="7"/>
      <c r="AE3" s="6"/>
      <c r="AF3" s="6"/>
      <c r="AG3" s="6"/>
      <c r="AH3" s="7"/>
      <c r="AI3" s="7"/>
      <c r="AJ3" s="6"/>
      <c r="AK3" s="6"/>
      <c r="AL3" s="6"/>
    </row>
    <row r="4" spans="1:49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7">
        <v>42705</v>
      </c>
      <c r="T4" s="168"/>
      <c r="U4" s="9"/>
      <c r="Z4" s="10"/>
      <c r="AA4" s="12"/>
      <c r="AB4" s="12"/>
      <c r="AC4" s="12"/>
      <c r="AD4" s="12"/>
      <c r="AE4" s="11"/>
      <c r="AF4" s="11"/>
      <c r="AG4" s="11"/>
      <c r="AH4" s="12"/>
      <c r="AI4" s="12"/>
      <c r="AJ4" s="10"/>
      <c r="AK4" s="167"/>
      <c r="AL4" s="168"/>
    </row>
    <row r="5" spans="1:49" ht="34.5" customHeight="1" x14ac:dyDescent="0.25">
      <c r="A5" s="13" t="s">
        <v>0</v>
      </c>
      <c r="B5" s="9"/>
      <c r="C5" s="165" t="s">
        <v>52</v>
      </c>
      <c r="D5" s="165"/>
      <c r="E5" s="165"/>
      <c r="F5" s="165" t="s">
        <v>100</v>
      </c>
      <c r="G5" s="165"/>
      <c r="H5" s="165"/>
      <c r="I5" s="165" t="s">
        <v>1</v>
      </c>
      <c r="J5" s="165"/>
      <c r="K5" s="165"/>
      <c r="L5" s="10"/>
      <c r="M5" s="10"/>
      <c r="N5" s="165" t="s">
        <v>2</v>
      </c>
      <c r="O5" s="165"/>
      <c r="P5" s="165"/>
      <c r="Q5" s="10"/>
      <c r="R5" s="165" t="s">
        <v>3</v>
      </c>
      <c r="S5" s="165"/>
      <c r="T5" s="165"/>
      <c r="U5" s="9"/>
      <c r="Z5" s="160" t="s">
        <v>57</v>
      </c>
      <c r="AA5" s="161"/>
      <c r="AB5" s="162"/>
      <c r="AC5" s="12"/>
      <c r="AD5" s="12"/>
      <c r="AE5" s="157" t="s">
        <v>56</v>
      </c>
      <c r="AF5" s="158"/>
      <c r="AG5" s="159"/>
      <c r="AH5" s="12"/>
      <c r="AI5" s="12"/>
      <c r="AJ5" s="165" t="s">
        <v>89</v>
      </c>
      <c r="AK5" s="165"/>
      <c r="AL5" s="165"/>
    </row>
    <row r="6" spans="1:49" ht="34.5" customHeight="1" x14ac:dyDescent="0.25">
      <c r="A6" s="13"/>
      <c r="B6" s="9"/>
      <c r="C6" s="15" t="s">
        <v>4</v>
      </c>
      <c r="D6" s="15" t="s">
        <v>5</v>
      </c>
      <c r="E6" s="15" t="s">
        <v>6</v>
      </c>
      <c r="F6" s="15" t="s">
        <v>4</v>
      </c>
      <c r="G6" s="15" t="s">
        <v>5</v>
      </c>
      <c r="H6" s="15" t="s">
        <v>6</v>
      </c>
      <c r="I6" s="15" t="s">
        <v>4</v>
      </c>
      <c r="J6" s="15" t="s">
        <v>5</v>
      </c>
      <c r="K6" s="15" t="s">
        <v>6</v>
      </c>
      <c r="L6" s="10"/>
      <c r="M6" s="10"/>
      <c r="N6" s="15" t="s">
        <v>4</v>
      </c>
      <c r="O6" s="15" t="s">
        <v>5</v>
      </c>
      <c r="P6" s="15" t="s">
        <v>6</v>
      </c>
      <c r="Q6" s="10"/>
      <c r="R6" s="15" t="s">
        <v>4</v>
      </c>
      <c r="S6" s="15" t="s">
        <v>5</v>
      </c>
      <c r="T6" s="15" t="s">
        <v>6</v>
      </c>
      <c r="U6" s="9"/>
      <c r="Z6" s="17" t="s">
        <v>4</v>
      </c>
      <c r="AA6" s="17" t="s">
        <v>5</v>
      </c>
      <c r="AB6" s="17" t="s">
        <v>6</v>
      </c>
      <c r="AC6" s="12"/>
      <c r="AD6" s="12"/>
      <c r="AE6" s="16" t="s">
        <v>4</v>
      </c>
      <c r="AF6" s="16" t="s">
        <v>5</v>
      </c>
      <c r="AG6" s="16" t="s">
        <v>6</v>
      </c>
      <c r="AH6" s="12"/>
      <c r="AI6" s="12"/>
      <c r="AJ6" s="15" t="s">
        <v>4</v>
      </c>
      <c r="AK6" s="15" t="s">
        <v>5</v>
      </c>
      <c r="AL6" s="15" t="s">
        <v>6</v>
      </c>
      <c r="AP6" s="166" t="s">
        <v>96</v>
      </c>
      <c r="AQ6" s="166"/>
      <c r="AR6" s="166"/>
      <c r="AS6" s="166"/>
      <c r="AT6" s="166"/>
      <c r="AU6" s="166"/>
    </row>
    <row r="7" spans="1:49" x14ac:dyDescent="0.25">
      <c r="A7" s="163" t="s">
        <v>101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9"/>
      <c r="W7" s="1"/>
      <c r="X7" s="1"/>
      <c r="Y7" s="1"/>
      <c r="Z7" s="1"/>
      <c r="AA7" s="1"/>
      <c r="AB7" s="1"/>
      <c r="AC7" s="12"/>
      <c r="AD7" s="12"/>
      <c r="AE7" s="1"/>
      <c r="AF7" s="1"/>
      <c r="AG7" s="1"/>
      <c r="AH7" s="12"/>
      <c r="AI7" s="12"/>
      <c r="AJ7" s="3"/>
      <c r="AK7" s="3"/>
      <c r="AL7" s="3"/>
    </row>
    <row r="8" spans="1:49" x14ac:dyDescent="0.25">
      <c r="A8" s="4" t="s">
        <v>7</v>
      </c>
      <c r="B8" s="9"/>
      <c r="C8" s="18">
        <v>45774061</v>
      </c>
      <c r="D8" s="18">
        <v>11443516</v>
      </c>
      <c r="E8" s="18">
        <f>+D8+C8</f>
        <v>57217577</v>
      </c>
      <c r="F8" s="18">
        <v>45774061</v>
      </c>
      <c r="G8" s="18">
        <v>11443516</v>
      </c>
      <c r="H8" s="18">
        <f>+G8+F8</f>
        <v>57217577</v>
      </c>
      <c r="I8" s="18">
        <v>45774061</v>
      </c>
      <c r="J8" s="18">
        <v>11443516</v>
      </c>
      <c r="K8" s="18">
        <f>+J8+I8</f>
        <v>57217577</v>
      </c>
      <c r="L8" s="10">
        <f t="shared" ref="L8:L39" si="0">+C8-I8</f>
        <v>0</v>
      </c>
      <c r="M8" s="10">
        <f t="shared" ref="M8:M39" si="1">+D8-J8</f>
        <v>0</v>
      </c>
      <c r="N8" s="18">
        <f>1219760+387342+225550.08+108960+446640+961200+211200+331976+393704.86+976000+404480+247360+129400+1434868.8+160000+175600+68400+384000+276382.4+143200+234000+32800+13600+63324+70000+343480+1209000+1667240+306880+356406.4+438920+114000+603893.6+1009114.4+203046.4+103200+298240+13600+304800+164188+586980+56960+225800+57372+192716+344000+1526072.8+740728+151472+892145.6+732381.6+708000+1049600+1147734.4+1619403.2+667188+428360+665600+1200000+888348+231471.2+803069.2+1131485.6+180594.4+238008.51-48800+398576+254800+384000+783776.8+622000+1209551.2+2794474.4+217600+998400+224000+218400+480000+3284839.2+24000+505690.59+408000+252706+60800</f>
        <v>45774061.640000008</v>
      </c>
      <c r="O8" s="18">
        <f>304940+96835.5+56387.52+27240+111660+240300+52800+82994+98426.21+244000+101120+61840+32350+358717.2+40000+43900+17100+96000+69095.6+35800+58500+8200+3400+15831+17500+85870+302250+416810+76720+89101.6+109730+28500+150973.4+252278.6+50761.6+25800+74560+3400+76200+41047+146745+14240+56450+14343+48179+86000+381518.2+185182+37868+223036.4+183095.4+177000+262400+286933.6+404850.8+166797+107090+166400+300000+222087+57867.8+200767.3+282871.4+45148.6+59502.13-12200+99644+63700+96000+195944.2+155500+302387.8+698618.6+54400+249600+56000+54600+120000+821209.8+6000+126422.65+102000+63176.5+15200</f>
        <v>11443515.41</v>
      </c>
      <c r="P8" s="18">
        <f>+O8+N8</f>
        <v>57217577.050000012</v>
      </c>
      <c r="Q8" s="10"/>
      <c r="R8" s="18">
        <v>8896642.7999999989</v>
      </c>
      <c r="S8" s="18">
        <v>2097207.42</v>
      </c>
      <c r="T8" s="18">
        <f>+S8+R8</f>
        <v>10993850.219999999</v>
      </c>
      <c r="U8" s="9"/>
      <c r="Z8" s="20">
        <f t="shared" ref="Z8:Z29" si="2">+N8/I8</f>
        <v>1.000000013981718</v>
      </c>
      <c r="AA8" s="20">
        <f t="shared" ref="AA8:AA29" si="3">+O8/J8</f>
        <v>0.99999994844241924</v>
      </c>
      <c r="AB8" s="20">
        <f t="shared" ref="AB8:AB29" si="4">+P8/K8</f>
        <v>1.0000000008738577</v>
      </c>
      <c r="AC8" s="12"/>
      <c r="AD8" s="12"/>
      <c r="AE8" s="19">
        <f t="shared" ref="AE8:AE29" si="5">+R8/I8</f>
        <v>0.19435991925645396</v>
      </c>
      <c r="AF8" s="19">
        <f t="shared" ref="AF8:AF29" si="6">+S8/J8</f>
        <v>0.18326600146318667</v>
      </c>
      <c r="AG8" s="19">
        <f t="shared" ref="AG8:AG29" si="7">+T8/K8</f>
        <v>0.1921411355814665</v>
      </c>
      <c r="AH8" s="12"/>
      <c r="AI8" s="12"/>
      <c r="AJ8" s="18">
        <f t="shared" ref="AJ8:AJ39" si="8">+I8-N8</f>
        <v>-0.64000000804662704</v>
      </c>
      <c r="AK8" s="18">
        <f t="shared" ref="AK8:AK39" si="9">+J8-O8</f>
        <v>0.58999999985098839</v>
      </c>
      <c r="AL8" s="18">
        <f t="shared" ref="AL8:AL39" si="10">+K8-P8</f>
        <v>-5.0000011920928955E-2</v>
      </c>
      <c r="AM8" s="7">
        <f>+C10</f>
        <v>336221</v>
      </c>
      <c r="AN8" s="7">
        <f>+D10</f>
        <v>84055</v>
      </c>
      <c r="AO8" s="7" t="s">
        <v>59</v>
      </c>
      <c r="AP8" s="21">
        <f>+R9+R13+R17+R22+R23+R27+R28+R34+R35+R47+R50+R54+R58</f>
        <v>5306466.6800000006</v>
      </c>
      <c r="AQ8" s="21">
        <f>+S9+S13+S17+S22+S23+S27+S28+S34+S35+S47+S50+S54+S58</f>
        <v>1065626.9700000002</v>
      </c>
      <c r="AR8" s="21">
        <f>+T9+T13+T17+T22+T23+T27+T28+T34+T35+T47+T50+T54+T58</f>
        <v>6372093.6500000013</v>
      </c>
    </row>
    <row r="9" spans="1:49" x14ac:dyDescent="0.25">
      <c r="A9" s="22" t="s">
        <v>8</v>
      </c>
      <c r="B9" s="9"/>
      <c r="C9" s="18">
        <v>1921262</v>
      </c>
      <c r="D9" s="18">
        <v>480316</v>
      </c>
      <c r="E9" s="18">
        <f t="shared" ref="E9:E10" si="11">+D9+C9</f>
        <v>2401578</v>
      </c>
      <c r="F9" s="18">
        <v>1921262</v>
      </c>
      <c r="G9" s="18">
        <v>480316</v>
      </c>
      <c r="H9" s="18">
        <f t="shared" ref="H9:H10" si="12">+G9+F9</f>
        <v>2401578</v>
      </c>
      <c r="I9" s="18">
        <v>1921262</v>
      </c>
      <c r="J9" s="18">
        <v>480316</v>
      </c>
      <c r="K9" s="18">
        <f t="shared" ref="K9:K18" si="13">+J9+I9</f>
        <v>2401578</v>
      </c>
      <c r="L9" s="10">
        <f t="shared" si="0"/>
        <v>0</v>
      </c>
      <c r="M9" s="10">
        <f t="shared" si="1"/>
        <v>0</v>
      </c>
      <c r="N9" s="18">
        <v>1921262</v>
      </c>
      <c r="O9" s="18">
        <v>480316</v>
      </c>
      <c r="P9" s="18">
        <f t="shared" ref="P9:P10" si="14">+O9+N9</f>
        <v>2401578</v>
      </c>
      <c r="Q9" s="10"/>
      <c r="R9" s="18">
        <f>+AR13</f>
        <v>1798128.4200000004</v>
      </c>
      <c r="S9" s="18">
        <f>+AU13</f>
        <v>422375.08000000007</v>
      </c>
      <c r="T9" s="18">
        <f t="shared" ref="T9:T10" si="15">+S9+R9</f>
        <v>2220503.5000000005</v>
      </c>
      <c r="U9" s="9"/>
      <c r="Z9" s="20">
        <f t="shared" si="2"/>
        <v>1</v>
      </c>
      <c r="AA9" s="20">
        <f t="shared" si="3"/>
        <v>1</v>
      </c>
      <c r="AB9" s="20">
        <f t="shared" si="4"/>
        <v>1</v>
      </c>
      <c r="AC9" s="12"/>
      <c r="AD9" s="12"/>
      <c r="AE9" s="19">
        <f t="shared" si="5"/>
        <v>0.9359100528714982</v>
      </c>
      <c r="AF9" s="19">
        <f t="shared" si="6"/>
        <v>0.87936916529951126</v>
      </c>
      <c r="AG9" s="19">
        <f t="shared" si="7"/>
        <v>0.92460186593981142</v>
      </c>
      <c r="AH9" s="12"/>
      <c r="AI9" s="12"/>
      <c r="AJ9" s="18">
        <f t="shared" si="8"/>
        <v>0</v>
      </c>
      <c r="AK9" s="18">
        <f t="shared" si="9"/>
        <v>0</v>
      </c>
      <c r="AL9" s="18">
        <f t="shared" si="10"/>
        <v>0</v>
      </c>
      <c r="AM9" s="7">
        <f>+C14</f>
        <v>224147</v>
      </c>
      <c r="AN9" s="7">
        <f>+D14</f>
        <v>56037</v>
      </c>
      <c r="AO9" s="7" t="s">
        <v>60</v>
      </c>
      <c r="AP9" s="21">
        <f>+R10+R14+R18+R24+R29+R40+R51+R55+R59</f>
        <v>297956.07</v>
      </c>
      <c r="AQ9" s="21">
        <f>+S10+S14+S18+S24+S29+S40+S51+S55+S59</f>
        <v>74489.02</v>
      </c>
      <c r="AR9" s="21">
        <f>+T10+T14+T18+T24+T29+T40+T51+T55+T59</f>
        <v>372445.09</v>
      </c>
    </row>
    <row r="10" spans="1:49" x14ac:dyDescent="0.25">
      <c r="A10" s="22" t="s">
        <v>9</v>
      </c>
      <c r="B10" s="9"/>
      <c r="C10" s="18">
        <v>336221</v>
      </c>
      <c r="D10" s="18">
        <v>84055</v>
      </c>
      <c r="E10" s="18">
        <f t="shared" si="11"/>
        <v>420276</v>
      </c>
      <c r="F10" s="18">
        <v>336221</v>
      </c>
      <c r="G10" s="18">
        <v>84055</v>
      </c>
      <c r="H10" s="18">
        <f t="shared" si="12"/>
        <v>420276</v>
      </c>
      <c r="I10" s="18">
        <v>336221</v>
      </c>
      <c r="J10" s="18">
        <v>84055</v>
      </c>
      <c r="K10" s="18">
        <f t="shared" si="13"/>
        <v>420276</v>
      </c>
      <c r="L10" s="10">
        <f t="shared" si="0"/>
        <v>0</v>
      </c>
      <c r="M10" s="10">
        <f t="shared" si="1"/>
        <v>0</v>
      </c>
      <c r="N10" s="18">
        <v>336221</v>
      </c>
      <c r="O10" s="18">
        <v>84055</v>
      </c>
      <c r="P10" s="18">
        <f t="shared" si="14"/>
        <v>420276</v>
      </c>
      <c r="Q10" s="10"/>
      <c r="R10" s="18">
        <v>297956.07</v>
      </c>
      <c r="S10" s="18">
        <v>74489.02</v>
      </c>
      <c r="T10" s="18">
        <f t="shared" si="15"/>
        <v>372445.09</v>
      </c>
      <c r="U10" s="9"/>
      <c r="Z10" s="20">
        <f t="shared" si="2"/>
        <v>1</v>
      </c>
      <c r="AA10" s="20">
        <f t="shared" si="3"/>
        <v>1</v>
      </c>
      <c r="AB10" s="20">
        <f t="shared" si="4"/>
        <v>1</v>
      </c>
      <c r="AC10" s="12"/>
      <c r="AD10" s="12"/>
      <c r="AE10" s="19">
        <f t="shared" si="5"/>
        <v>0.88619113618721024</v>
      </c>
      <c r="AF10" s="19">
        <f t="shared" si="6"/>
        <v>0.88619380167747308</v>
      </c>
      <c r="AG10" s="19">
        <f t="shared" si="7"/>
        <v>0.8861916692839944</v>
      </c>
      <c r="AH10" s="12"/>
      <c r="AI10" s="12"/>
      <c r="AJ10" s="18">
        <f t="shared" si="8"/>
        <v>0</v>
      </c>
      <c r="AK10" s="18">
        <f t="shared" si="9"/>
        <v>0</v>
      </c>
      <c r="AL10" s="18">
        <f t="shared" si="10"/>
        <v>0</v>
      </c>
      <c r="AM10" s="7">
        <f>+C18</f>
        <v>50732</v>
      </c>
      <c r="AN10" s="7">
        <f>+D18</f>
        <v>12683</v>
      </c>
      <c r="AP10" s="21">
        <f t="shared" ref="AP10:AR10" si="16">SUM(AP8:AP9)</f>
        <v>5604422.7500000009</v>
      </c>
      <c r="AQ10" s="21">
        <f t="shared" si="16"/>
        <v>1140115.9900000002</v>
      </c>
      <c r="AR10" s="21">
        <f t="shared" si="16"/>
        <v>6744538.7400000012</v>
      </c>
    </row>
    <row r="11" spans="1:49" x14ac:dyDescent="0.25">
      <c r="A11" s="23" t="s">
        <v>18</v>
      </c>
      <c r="B11" s="24"/>
      <c r="C11" s="25">
        <f t="shared" ref="C11:S11" si="17">SUM(C8:C10)</f>
        <v>48031544</v>
      </c>
      <c r="D11" s="25">
        <f t="shared" si="17"/>
        <v>12007887</v>
      </c>
      <c r="E11" s="25">
        <f t="shared" si="17"/>
        <v>60039431</v>
      </c>
      <c r="F11" s="25">
        <f>SUM(F8:F10)</f>
        <v>48031544</v>
      </c>
      <c r="G11" s="25">
        <f t="shared" ref="G11:H11" si="18">SUM(G8:G10)</f>
        <v>12007887</v>
      </c>
      <c r="H11" s="25">
        <f t="shared" si="18"/>
        <v>60039431</v>
      </c>
      <c r="I11" s="25">
        <f t="shared" si="17"/>
        <v>48031544</v>
      </c>
      <c r="J11" s="25">
        <f t="shared" si="17"/>
        <v>12007887</v>
      </c>
      <c r="K11" s="25">
        <f t="shared" si="17"/>
        <v>60039431</v>
      </c>
      <c r="L11" s="10">
        <f t="shared" si="0"/>
        <v>0</v>
      </c>
      <c r="M11" s="10">
        <f t="shared" si="1"/>
        <v>0</v>
      </c>
      <c r="N11" s="25">
        <f t="shared" si="17"/>
        <v>48031544.640000008</v>
      </c>
      <c r="O11" s="25">
        <f t="shared" si="17"/>
        <v>12007886.41</v>
      </c>
      <c r="P11" s="25">
        <f t="shared" si="17"/>
        <v>60039431.050000012</v>
      </c>
      <c r="Q11" s="25">
        <f t="shared" si="17"/>
        <v>0</v>
      </c>
      <c r="R11" s="25">
        <f t="shared" si="17"/>
        <v>10992727.289999999</v>
      </c>
      <c r="S11" s="25">
        <f t="shared" si="17"/>
        <v>2594071.52</v>
      </c>
      <c r="T11" s="25">
        <f>SUM(T8:T10)</f>
        <v>13586798.809999999</v>
      </c>
      <c r="U11" s="9"/>
      <c r="Z11" s="27">
        <f t="shared" si="2"/>
        <v>1.000000013324577</v>
      </c>
      <c r="AA11" s="27">
        <f t="shared" si="3"/>
        <v>0.99999995086562687</v>
      </c>
      <c r="AB11" s="27">
        <f t="shared" si="4"/>
        <v>1.0000000008327863</v>
      </c>
      <c r="AC11" s="12"/>
      <c r="AD11" s="12"/>
      <c r="AE11" s="26">
        <f t="shared" si="5"/>
        <v>0.22886474959039416</v>
      </c>
      <c r="AF11" s="26">
        <f t="shared" si="6"/>
        <v>0.21603064052817952</v>
      </c>
      <c r="AG11" s="26">
        <f t="shared" si="7"/>
        <v>0.22629792760694215</v>
      </c>
      <c r="AH11" s="12"/>
      <c r="AI11" s="12"/>
      <c r="AJ11" s="25">
        <f t="shared" si="8"/>
        <v>-0.64000000804662704</v>
      </c>
      <c r="AK11" s="25">
        <f t="shared" si="9"/>
        <v>0.58999999985098839</v>
      </c>
      <c r="AL11" s="25">
        <f t="shared" si="10"/>
        <v>-5.0000011920928955E-2</v>
      </c>
      <c r="AP11" s="170" t="s">
        <v>4</v>
      </c>
      <c r="AQ11" s="170"/>
      <c r="AR11" s="170"/>
      <c r="AS11" s="170" t="s">
        <v>5</v>
      </c>
      <c r="AT11" s="170"/>
      <c r="AU11" s="170"/>
    </row>
    <row r="12" spans="1:49" x14ac:dyDescent="0.25">
      <c r="A12" s="4" t="s">
        <v>10</v>
      </c>
      <c r="B12" s="9"/>
      <c r="C12" s="18">
        <v>30516042</v>
      </c>
      <c r="D12" s="18">
        <v>7629010</v>
      </c>
      <c r="E12" s="18">
        <f t="shared" ref="E12:E14" si="19">+D12+C12</f>
        <v>38145052</v>
      </c>
      <c r="F12" s="18">
        <v>37422839</v>
      </c>
      <c r="G12" s="18">
        <v>9355709</v>
      </c>
      <c r="H12" s="18">
        <f>+G12+F12</f>
        <v>46778548</v>
      </c>
      <c r="I12" s="18">
        <v>30516042</v>
      </c>
      <c r="J12" s="18">
        <v>7629010</v>
      </c>
      <c r="K12" s="18">
        <f t="shared" si="13"/>
        <v>38145052</v>
      </c>
      <c r="L12" s="10">
        <f t="shared" si="0"/>
        <v>0</v>
      </c>
      <c r="M12" s="10">
        <f t="shared" si="1"/>
        <v>0</v>
      </c>
      <c r="N12" s="18">
        <f>328320+3353880+1478960+180880+853140+1059440+2002289.6+313197.6+3760084.8+329840+145200+1690240+441397.6+1104198.4+599630.4+1758045.6+1460808+27100.75+6840+2196384+449361.2+1425112+400000+1090176.8+422356+693385.6+447197.2+288395.2+201920-31360+344280+969000+230280+296400+199661.25-197540-1369520+1567059.95+1185940.48+854309.6+99272.8+1183320+775200+95310.4+216761.2+1291404.8+216000+577508.48+152530.84+259238.4</f>
        <v>37422838.949999996</v>
      </c>
      <c r="O12" s="18">
        <f>82080+838470+369740+45220+213285+264860+500572.4+78299.4+940021.2+82460+36300+422560+110349.4+276049.6+149907.6+439511.4+365202+6775.25+1710+549096+112340.3+356278+100000+272544.2+105589+173346.4+111799.3+72098.8+50480-7840+86070+242250+57570+74100+49914.81-49385-342380+391765.99+296485.12+213577.4+24818.2+295830+193800+23827.6+54190.3+322851.2+54000+144377.12+38132.46+64809.6</f>
        <v>9355710.0499999989</v>
      </c>
      <c r="P12" s="18">
        <f t="shared" ref="P12:P14" si="20">+O12+N12</f>
        <v>46778548.999999993</v>
      </c>
      <c r="Q12" s="10"/>
      <c r="R12" s="18">
        <v>9956620.9600000009</v>
      </c>
      <c r="S12" s="18">
        <v>2489155.2400000002</v>
      </c>
      <c r="T12" s="18">
        <f t="shared" ref="T12:T14" si="21">+S12+R12</f>
        <v>12445776.200000001</v>
      </c>
      <c r="U12" s="9"/>
      <c r="X12" s="28"/>
      <c r="Y12" s="28"/>
      <c r="Z12" s="20">
        <f>+N12/F12</f>
        <v>0.99999999866391742</v>
      </c>
      <c r="AA12" s="20">
        <f>+O12/G12</f>
        <v>1.0000001122309383</v>
      </c>
      <c r="AB12" s="20">
        <f>+P12/H12</f>
        <v>1.0000000213773201</v>
      </c>
      <c r="AC12" s="12"/>
      <c r="AD12" s="12"/>
      <c r="AE12" s="19">
        <f t="shared" si="5"/>
        <v>0.32627497891109208</v>
      </c>
      <c r="AF12" s="19">
        <f t="shared" si="6"/>
        <v>0.3262750002949269</v>
      </c>
      <c r="AG12" s="19">
        <f t="shared" si="7"/>
        <v>0.32627498318785886</v>
      </c>
      <c r="AH12" s="12"/>
      <c r="AI12" s="12"/>
      <c r="AJ12" s="18">
        <f>+F12-N12</f>
        <v>5.0000004470348358E-2</v>
      </c>
      <c r="AK12" s="18">
        <f>+G12-O12</f>
        <v>-1.0499999988824129</v>
      </c>
      <c r="AL12" s="18">
        <f t="shared" ref="AL12" si="22">+H12-P12</f>
        <v>-0.9999999925494194</v>
      </c>
      <c r="AM12" s="21"/>
      <c r="AP12" s="7" t="s">
        <v>64</v>
      </c>
      <c r="AQ12" s="7" t="s">
        <v>65</v>
      </c>
      <c r="AR12" s="7" t="s">
        <v>66</v>
      </c>
      <c r="AS12" s="7" t="s">
        <v>67</v>
      </c>
      <c r="AT12" s="7" t="s">
        <v>68</v>
      </c>
      <c r="AU12" s="7" t="s">
        <v>69</v>
      </c>
    </row>
    <row r="13" spans="1:49" x14ac:dyDescent="0.25">
      <c r="A13" s="22" t="s">
        <v>8</v>
      </c>
      <c r="B13" s="9"/>
      <c r="C13" s="18">
        <v>1280841</v>
      </c>
      <c r="D13" s="18">
        <v>320210</v>
      </c>
      <c r="E13" s="18">
        <f t="shared" si="19"/>
        <v>1601051</v>
      </c>
      <c r="F13" s="18">
        <v>1570738</v>
      </c>
      <c r="G13" s="18">
        <v>392684</v>
      </c>
      <c r="H13" s="18">
        <f t="shared" ref="H13:H14" si="23">+G13+F13</f>
        <v>1963422</v>
      </c>
      <c r="I13" s="18">
        <v>1280841</v>
      </c>
      <c r="J13" s="18">
        <v>320210</v>
      </c>
      <c r="K13" s="18">
        <f t="shared" si="13"/>
        <v>1601051</v>
      </c>
      <c r="L13" s="10">
        <f t="shared" si="0"/>
        <v>0</v>
      </c>
      <c r="M13" s="10">
        <f t="shared" si="1"/>
        <v>0</v>
      </c>
      <c r="N13" s="18">
        <v>1280841</v>
      </c>
      <c r="O13" s="18">
        <v>320210</v>
      </c>
      <c r="P13" s="18">
        <f t="shared" si="20"/>
        <v>1601051</v>
      </c>
      <c r="Q13" s="10"/>
      <c r="R13" s="18">
        <f>+AR14</f>
        <v>870903.54</v>
      </c>
      <c r="S13" s="18">
        <f>+AU14</f>
        <v>195667.67</v>
      </c>
      <c r="T13" s="18">
        <f t="shared" si="21"/>
        <v>1066571.21</v>
      </c>
      <c r="U13" s="9"/>
      <c r="Z13" s="20">
        <f t="shared" si="2"/>
        <v>1</v>
      </c>
      <c r="AA13" s="20">
        <f t="shared" si="3"/>
        <v>1</v>
      </c>
      <c r="AB13" s="20">
        <f t="shared" si="4"/>
        <v>1</v>
      </c>
      <c r="AC13" s="12"/>
      <c r="AD13" s="12"/>
      <c r="AE13" s="19">
        <f t="shared" si="5"/>
        <v>0.67994664443127606</v>
      </c>
      <c r="AF13" s="19">
        <f t="shared" si="6"/>
        <v>0.61106046032291317</v>
      </c>
      <c r="AG13" s="19">
        <f t="shared" si="7"/>
        <v>0.66616941621472392</v>
      </c>
      <c r="AH13" s="12"/>
      <c r="AI13" s="12"/>
      <c r="AJ13" s="18">
        <f t="shared" si="8"/>
        <v>0</v>
      </c>
      <c r="AK13" s="18">
        <f t="shared" si="9"/>
        <v>0</v>
      </c>
      <c r="AL13" s="18">
        <f t="shared" si="10"/>
        <v>0</v>
      </c>
      <c r="AO13" s="7" t="s">
        <v>61</v>
      </c>
      <c r="AP13" s="21">
        <v>777653.78000000038</v>
      </c>
      <c r="AQ13" s="21">
        <v>1020474.64</v>
      </c>
      <c r="AR13" s="21">
        <f>+AQ13+AP13</f>
        <v>1798128.4200000004</v>
      </c>
      <c r="AS13" s="21">
        <v>194413.44000000009</v>
      </c>
      <c r="AT13" s="21">
        <v>227961.64</v>
      </c>
      <c r="AU13" s="21">
        <f>+AT13+AS13</f>
        <v>422375.08000000007</v>
      </c>
    </row>
    <row r="14" spans="1:49" x14ac:dyDescent="0.25">
      <c r="A14" s="22" t="s">
        <v>9</v>
      </c>
      <c r="B14" s="9"/>
      <c r="C14" s="18">
        <v>224147</v>
      </c>
      <c r="D14" s="18">
        <v>56037</v>
      </c>
      <c r="E14" s="18">
        <f t="shared" si="19"/>
        <v>280184</v>
      </c>
      <c r="F14" s="18">
        <v>274879</v>
      </c>
      <c r="G14" s="18">
        <v>68720</v>
      </c>
      <c r="H14" s="18">
        <f t="shared" si="23"/>
        <v>343599</v>
      </c>
      <c r="I14" s="18">
        <v>224147</v>
      </c>
      <c r="J14" s="18">
        <v>56037</v>
      </c>
      <c r="K14" s="18">
        <f t="shared" si="13"/>
        <v>280184</v>
      </c>
      <c r="L14" s="10">
        <f t="shared" si="0"/>
        <v>0</v>
      </c>
      <c r="M14" s="10">
        <f t="shared" si="1"/>
        <v>0</v>
      </c>
      <c r="N14" s="18">
        <v>224147</v>
      </c>
      <c r="O14" s="18">
        <v>56037</v>
      </c>
      <c r="P14" s="18">
        <f t="shared" si="20"/>
        <v>280184</v>
      </c>
      <c r="Q14" s="10"/>
      <c r="R14" s="18"/>
      <c r="S14" s="18"/>
      <c r="T14" s="18">
        <f t="shared" si="21"/>
        <v>0</v>
      </c>
      <c r="U14" s="9"/>
      <c r="Z14" s="20">
        <f t="shared" si="2"/>
        <v>1</v>
      </c>
      <c r="AA14" s="20">
        <f t="shared" si="3"/>
        <v>1</v>
      </c>
      <c r="AB14" s="20">
        <f t="shared" si="4"/>
        <v>1</v>
      </c>
      <c r="AC14" s="12"/>
      <c r="AD14" s="12"/>
      <c r="AE14" s="19">
        <f t="shared" si="5"/>
        <v>0</v>
      </c>
      <c r="AF14" s="19">
        <f t="shared" si="6"/>
        <v>0</v>
      </c>
      <c r="AG14" s="19">
        <f t="shared" si="7"/>
        <v>0</v>
      </c>
      <c r="AH14" s="12"/>
      <c r="AI14" s="12"/>
      <c r="AJ14" s="18">
        <f t="shared" si="8"/>
        <v>0</v>
      </c>
      <c r="AK14" s="18">
        <f t="shared" si="9"/>
        <v>0</v>
      </c>
      <c r="AL14" s="18">
        <f t="shared" si="10"/>
        <v>0</v>
      </c>
      <c r="AO14" s="7" t="s">
        <v>62</v>
      </c>
      <c r="AP14" s="21">
        <v>604304.11</v>
      </c>
      <c r="AQ14" s="21">
        <v>266599.43</v>
      </c>
      <c r="AR14" s="21">
        <f t="shared" ref="AR14:AR19" si="24">+AQ14+AP14</f>
        <v>870903.54</v>
      </c>
      <c r="AS14" s="21">
        <v>151076.04</v>
      </c>
      <c r="AT14" s="21">
        <v>44591.63</v>
      </c>
      <c r="AU14" s="21">
        <f t="shared" ref="AU14:AU22" si="25">+AT14+AS14</f>
        <v>195667.67</v>
      </c>
      <c r="AV14" s="7">
        <f>+AR13+AR14+AR15</f>
        <v>2673412.5400000005</v>
      </c>
      <c r="AW14" s="1">
        <f>+AU13+AU14+AU15</f>
        <v>618042.75000000012</v>
      </c>
    </row>
    <row r="15" spans="1:49" x14ac:dyDescent="0.25">
      <c r="A15" s="23" t="s">
        <v>19</v>
      </c>
      <c r="B15" s="24"/>
      <c r="C15" s="25">
        <f t="shared" ref="C15:E15" si="26">SUM(C12:C14)</f>
        <v>32021030</v>
      </c>
      <c r="D15" s="25">
        <f t="shared" si="26"/>
        <v>8005257</v>
      </c>
      <c r="E15" s="25">
        <f t="shared" si="26"/>
        <v>40026287</v>
      </c>
      <c r="F15" s="25">
        <f>SUM(F12:F14)</f>
        <v>39268456</v>
      </c>
      <c r="G15" s="25">
        <f t="shared" ref="G15:H15" si="27">SUM(G12:G14)</f>
        <v>9817113</v>
      </c>
      <c r="H15" s="25">
        <f t="shared" si="27"/>
        <v>49085569</v>
      </c>
      <c r="I15" s="25">
        <f t="shared" ref="I15:T15" si="28">SUM(I12:I14)</f>
        <v>32021030</v>
      </c>
      <c r="J15" s="25">
        <f t="shared" si="28"/>
        <v>8005257</v>
      </c>
      <c r="K15" s="25">
        <f t="shared" si="28"/>
        <v>40026287</v>
      </c>
      <c r="L15" s="10">
        <f t="shared" si="0"/>
        <v>0</v>
      </c>
      <c r="M15" s="10">
        <f t="shared" si="1"/>
        <v>0</v>
      </c>
      <c r="N15" s="25">
        <f t="shared" si="28"/>
        <v>38927826.949999996</v>
      </c>
      <c r="O15" s="25">
        <f t="shared" si="28"/>
        <v>9731957.0499999989</v>
      </c>
      <c r="P15" s="25">
        <f t="shared" si="28"/>
        <v>48659783.999999993</v>
      </c>
      <c r="Q15" s="25">
        <f t="shared" si="28"/>
        <v>0</v>
      </c>
      <c r="R15" s="25">
        <f t="shared" si="28"/>
        <v>10827524.5</v>
      </c>
      <c r="S15" s="25">
        <f t="shared" si="28"/>
        <v>2684822.91</v>
      </c>
      <c r="T15" s="25">
        <f t="shared" si="28"/>
        <v>13512347.41</v>
      </c>
      <c r="U15" s="9"/>
      <c r="Z15" s="27">
        <f t="shared" si="2"/>
        <v>1.2156956522010689</v>
      </c>
      <c r="AA15" s="27">
        <f t="shared" si="3"/>
        <v>1.215695767168999</v>
      </c>
      <c r="AB15" s="27">
        <f t="shared" si="4"/>
        <v>1.2156956751946537</v>
      </c>
      <c r="AC15" s="12"/>
      <c r="AD15" s="12"/>
      <c r="AE15" s="26">
        <f t="shared" si="5"/>
        <v>0.3381379206102989</v>
      </c>
      <c r="AF15" s="26">
        <f t="shared" si="6"/>
        <v>0.33538247554076028</v>
      </c>
      <c r="AG15" s="26">
        <f t="shared" si="7"/>
        <v>0.33758683162392755</v>
      </c>
      <c r="AH15" s="12"/>
      <c r="AI15" s="12"/>
      <c r="AJ15" s="25">
        <v>6906797</v>
      </c>
      <c r="AK15" s="25">
        <v>1726698.9400000004</v>
      </c>
      <c r="AL15" s="25">
        <v>8633495.9399999976</v>
      </c>
      <c r="AO15" s="7" t="s">
        <v>63</v>
      </c>
      <c r="AP15" s="21">
        <v>0</v>
      </c>
      <c r="AQ15" s="21">
        <v>4380.58</v>
      </c>
      <c r="AR15" s="21">
        <f t="shared" si="24"/>
        <v>4380.58</v>
      </c>
      <c r="AS15" s="21">
        <v>0</v>
      </c>
      <c r="AT15" s="21"/>
      <c r="AU15" s="21">
        <f t="shared" si="25"/>
        <v>0</v>
      </c>
    </row>
    <row r="16" spans="1:49" x14ac:dyDescent="0.25">
      <c r="A16" s="4" t="s">
        <v>11</v>
      </c>
      <c r="B16" s="9"/>
      <c r="C16" s="18">
        <v>6906797</v>
      </c>
      <c r="D16" s="18">
        <v>1726699</v>
      </c>
      <c r="E16" s="18">
        <f t="shared" ref="E16:E18" si="29">+D16+C16</f>
        <v>8633496</v>
      </c>
      <c r="F16" s="18"/>
      <c r="G16" s="18"/>
      <c r="H16" s="18"/>
      <c r="I16" s="18">
        <v>6906797</v>
      </c>
      <c r="J16" s="18">
        <v>1726699</v>
      </c>
      <c r="K16" s="18">
        <f t="shared" si="13"/>
        <v>8633496</v>
      </c>
      <c r="L16" s="10">
        <f t="shared" si="0"/>
        <v>0</v>
      </c>
      <c r="M16" s="10">
        <f t="shared" si="1"/>
        <v>0</v>
      </c>
      <c r="N16" s="18"/>
      <c r="O16" s="18"/>
      <c r="P16" s="18">
        <f t="shared" ref="P16:P18" si="30">+O16+N16</f>
        <v>0</v>
      </c>
      <c r="Q16" s="10"/>
      <c r="R16" s="18"/>
      <c r="S16" s="18"/>
      <c r="T16" s="18">
        <f t="shared" ref="T16:T18" si="31">+S16+R16</f>
        <v>0</v>
      </c>
      <c r="U16" s="9"/>
      <c r="Z16" s="20">
        <f>+N16/I16</f>
        <v>0</v>
      </c>
      <c r="AA16" s="20">
        <f t="shared" si="3"/>
        <v>0</v>
      </c>
      <c r="AB16" s="20">
        <f t="shared" si="4"/>
        <v>0</v>
      </c>
      <c r="AC16" s="12"/>
      <c r="AD16" s="12"/>
      <c r="AE16" s="19">
        <f t="shared" si="5"/>
        <v>0</v>
      </c>
      <c r="AF16" s="19">
        <f t="shared" si="6"/>
        <v>0</v>
      </c>
      <c r="AG16" s="19">
        <f t="shared" si="7"/>
        <v>0</v>
      </c>
      <c r="AH16" s="12"/>
      <c r="AI16" s="12"/>
      <c r="AJ16" s="18">
        <v>0</v>
      </c>
      <c r="AK16" s="18">
        <v>0</v>
      </c>
      <c r="AL16" s="18">
        <v>0</v>
      </c>
      <c r="AO16" s="7" t="s">
        <v>70</v>
      </c>
      <c r="AP16" s="21">
        <v>258610.96</v>
      </c>
      <c r="AQ16" s="21">
        <v>207763.49</v>
      </c>
      <c r="AR16" s="21">
        <f t="shared" si="24"/>
        <v>466374.44999999995</v>
      </c>
      <c r="AS16" s="21">
        <v>64652.710000000014</v>
      </c>
      <c r="AT16" s="21">
        <v>59997.39</v>
      </c>
      <c r="AU16" s="21">
        <f t="shared" si="25"/>
        <v>124650.1</v>
      </c>
    </row>
    <row r="17" spans="1:47" x14ac:dyDescent="0.25">
      <c r="A17" s="22" t="s">
        <v>8</v>
      </c>
      <c r="B17" s="9"/>
      <c r="C17" s="18">
        <v>289897</v>
      </c>
      <c r="D17" s="18">
        <v>72474</v>
      </c>
      <c r="E17" s="18">
        <f t="shared" si="29"/>
        <v>362371</v>
      </c>
      <c r="F17" s="18"/>
      <c r="G17" s="18"/>
      <c r="H17" s="18"/>
      <c r="I17" s="18">
        <v>289897</v>
      </c>
      <c r="J17" s="18">
        <v>72474</v>
      </c>
      <c r="K17" s="18">
        <f t="shared" si="13"/>
        <v>362371</v>
      </c>
      <c r="L17" s="10">
        <f t="shared" si="0"/>
        <v>0</v>
      </c>
      <c r="M17" s="10">
        <f t="shared" si="1"/>
        <v>0</v>
      </c>
      <c r="N17" s="18">
        <v>289897</v>
      </c>
      <c r="O17" s="18">
        <v>72474</v>
      </c>
      <c r="P17" s="18">
        <f t="shared" si="30"/>
        <v>362371</v>
      </c>
      <c r="Q17" s="10"/>
      <c r="R17" s="18">
        <f>+AR15</f>
        <v>4380.58</v>
      </c>
      <c r="S17" s="18">
        <f>+AU15</f>
        <v>0</v>
      </c>
      <c r="T17" s="18">
        <f t="shared" si="31"/>
        <v>4380.58</v>
      </c>
      <c r="U17" s="9"/>
      <c r="Z17" s="20">
        <v>0</v>
      </c>
      <c r="AA17" s="20">
        <v>0</v>
      </c>
      <c r="AB17" s="20">
        <v>0</v>
      </c>
      <c r="AC17" s="12"/>
      <c r="AD17" s="12"/>
      <c r="AE17" s="19">
        <f t="shared" si="5"/>
        <v>1.5110815220578343E-2</v>
      </c>
      <c r="AF17" s="19">
        <f t="shared" si="6"/>
        <v>0</v>
      </c>
      <c r="AG17" s="19">
        <f t="shared" si="7"/>
        <v>1.2088660516432054E-2</v>
      </c>
      <c r="AH17" s="12"/>
      <c r="AI17" s="12"/>
      <c r="AJ17" s="18">
        <f t="shared" si="8"/>
        <v>0</v>
      </c>
      <c r="AK17" s="18">
        <f t="shared" si="9"/>
        <v>0</v>
      </c>
      <c r="AL17" s="18">
        <f t="shared" si="10"/>
        <v>0</v>
      </c>
      <c r="AO17" s="7" t="s">
        <v>71</v>
      </c>
      <c r="AP17" s="21">
        <v>128832.29</v>
      </c>
      <c r="AQ17" s="21">
        <v>65347.87</v>
      </c>
      <c r="AR17" s="21">
        <f t="shared" si="24"/>
        <v>194180.16</v>
      </c>
      <c r="AS17" s="21">
        <v>32208.06</v>
      </c>
      <c r="AT17" s="21">
        <v>0</v>
      </c>
      <c r="AU17" s="21">
        <f t="shared" si="25"/>
        <v>32208.06</v>
      </c>
    </row>
    <row r="18" spans="1:47" x14ac:dyDescent="0.25">
      <c r="A18" s="22" t="s">
        <v>9</v>
      </c>
      <c r="B18" s="9"/>
      <c r="C18" s="18">
        <v>50732</v>
      </c>
      <c r="D18" s="18">
        <v>12683</v>
      </c>
      <c r="E18" s="18">
        <f t="shared" si="29"/>
        <v>63415</v>
      </c>
      <c r="F18" s="18"/>
      <c r="G18" s="18"/>
      <c r="H18" s="18"/>
      <c r="I18" s="18">
        <v>50732</v>
      </c>
      <c r="J18" s="18">
        <v>12683</v>
      </c>
      <c r="K18" s="18">
        <f t="shared" si="13"/>
        <v>63415</v>
      </c>
      <c r="L18" s="10">
        <f t="shared" si="0"/>
        <v>0</v>
      </c>
      <c r="M18" s="10">
        <f t="shared" si="1"/>
        <v>0</v>
      </c>
      <c r="N18" s="18">
        <v>50732</v>
      </c>
      <c r="O18" s="18">
        <v>12683</v>
      </c>
      <c r="P18" s="18">
        <f t="shared" si="30"/>
        <v>63415</v>
      </c>
      <c r="Q18" s="10"/>
      <c r="R18" s="18"/>
      <c r="S18" s="18"/>
      <c r="T18" s="18">
        <f t="shared" si="31"/>
        <v>0</v>
      </c>
      <c r="U18" s="9"/>
      <c r="Z18" s="20">
        <v>0</v>
      </c>
      <c r="AA18" s="20">
        <v>0</v>
      </c>
      <c r="AB18" s="20">
        <v>0</v>
      </c>
      <c r="AC18" s="12"/>
      <c r="AD18" s="12"/>
      <c r="AE18" s="19">
        <f t="shared" si="5"/>
        <v>0</v>
      </c>
      <c r="AF18" s="19">
        <f t="shared" si="6"/>
        <v>0</v>
      </c>
      <c r="AG18" s="19">
        <f t="shared" si="7"/>
        <v>0</v>
      </c>
      <c r="AH18" s="12"/>
      <c r="AI18" s="12"/>
      <c r="AJ18" s="18">
        <f t="shared" si="8"/>
        <v>0</v>
      </c>
      <c r="AK18" s="18">
        <f t="shared" si="9"/>
        <v>0</v>
      </c>
      <c r="AL18" s="18">
        <f t="shared" si="10"/>
        <v>0</v>
      </c>
      <c r="AO18" s="7" t="s">
        <v>74</v>
      </c>
      <c r="AP18" s="21">
        <v>1010520.1699999999</v>
      </c>
      <c r="AQ18" s="21">
        <v>622236.34</v>
      </c>
      <c r="AR18" s="21">
        <f t="shared" si="24"/>
        <v>1632756.5099999998</v>
      </c>
      <c r="AS18" s="21"/>
      <c r="AT18" s="21"/>
      <c r="AU18" s="21"/>
    </row>
    <row r="19" spans="1:47" x14ac:dyDescent="0.25">
      <c r="A19" s="23" t="s">
        <v>20</v>
      </c>
      <c r="B19" s="24"/>
      <c r="C19" s="25">
        <f t="shared" ref="C19:T19" si="32">SUM(C16:C18)</f>
        <v>7247426</v>
      </c>
      <c r="D19" s="25">
        <f t="shared" si="32"/>
        <v>1811856</v>
      </c>
      <c r="E19" s="25">
        <f t="shared" si="32"/>
        <v>9059282</v>
      </c>
      <c r="F19" s="25"/>
      <c r="G19" s="25"/>
      <c r="H19" s="25"/>
      <c r="I19" s="25">
        <f t="shared" si="32"/>
        <v>7247426</v>
      </c>
      <c r="J19" s="25">
        <f t="shared" si="32"/>
        <v>1811856</v>
      </c>
      <c r="K19" s="25">
        <f t="shared" si="32"/>
        <v>9059282</v>
      </c>
      <c r="L19" s="10">
        <f t="shared" si="0"/>
        <v>0</v>
      </c>
      <c r="M19" s="10">
        <f t="shared" si="1"/>
        <v>0</v>
      </c>
      <c r="N19" s="25">
        <f t="shared" si="32"/>
        <v>340629</v>
      </c>
      <c r="O19" s="25">
        <f t="shared" si="32"/>
        <v>85157</v>
      </c>
      <c r="P19" s="25">
        <f t="shared" si="32"/>
        <v>425786</v>
      </c>
      <c r="Q19" s="25">
        <f t="shared" si="32"/>
        <v>0</v>
      </c>
      <c r="R19" s="25">
        <f t="shared" si="32"/>
        <v>4380.58</v>
      </c>
      <c r="S19" s="25">
        <f t="shared" si="32"/>
        <v>0</v>
      </c>
      <c r="T19" s="25">
        <f t="shared" si="32"/>
        <v>4380.58</v>
      </c>
      <c r="U19" s="9"/>
      <c r="Z19" s="27">
        <v>0</v>
      </c>
      <c r="AA19" s="27">
        <v>0</v>
      </c>
      <c r="AB19" s="27">
        <v>0</v>
      </c>
      <c r="AC19" s="12"/>
      <c r="AD19" s="12"/>
      <c r="AE19" s="26">
        <f t="shared" si="5"/>
        <v>6.0443252542350897E-4</v>
      </c>
      <c r="AF19" s="26">
        <f t="shared" si="6"/>
        <v>0</v>
      </c>
      <c r="AG19" s="26">
        <f t="shared" si="7"/>
        <v>4.8354604702668491E-4</v>
      </c>
      <c r="AH19" s="12"/>
      <c r="AI19" s="12"/>
      <c r="AJ19" s="25">
        <v>0</v>
      </c>
      <c r="AK19" s="25">
        <v>0</v>
      </c>
      <c r="AL19" s="25">
        <v>0</v>
      </c>
      <c r="AO19" s="7" t="s">
        <v>72</v>
      </c>
      <c r="AP19" s="21">
        <v>0</v>
      </c>
      <c r="AQ19" s="21"/>
      <c r="AR19" s="21">
        <f t="shared" si="24"/>
        <v>0</v>
      </c>
      <c r="AS19" s="21">
        <v>49923.65</v>
      </c>
      <c r="AT19" s="21">
        <v>0</v>
      </c>
      <c r="AU19" s="21">
        <f t="shared" si="25"/>
        <v>49923.65</v>
      </c>
    </row>
    <row r="20" spans="1:47" ht="32.25" customHeight="1" x14ac:dyDescent="0.25">
      <c r="A20" s="29" t="s">
        <v>28</v>
      </c>
      <c r="B20" s="9"/>
      <c r="C20" s="30">
        <f t="shared" ref="C20:S20" si="33">+C19+C15+C11</f>
        <v>87300000</v>
      </c>
      <c r="D20" s="30">
        <f t="shared" si="33"/>
        <v>21825000</v>
      </c>
      <c r="E20" s="30">
        <f t="shared" si="33"/>
        <v>109125000</v>
      </c>
      <c r="F20" s="30">
        <f t="shared" si="33"/>
        <v>87300000</v>
      </c>
      <c r="G20" s="30">
        <f t="shared" si="33"/>
        <v>21825000</v>
      </c>
      <c r="H20" s="30">
        <f t="shared" si="33"/>
        <v>109125000</v>
      </c>
      <c r="I20" s="30">
        <f t="shared" si="33"/>
        <v>87300000</v>
      </c>
      <c r="J20" s="30">
        <f t="shared" si="33"/>
        <v>21825000</v>
      </c>
      <c r="K20" s="30">
        <f t="shared" si="33"/>
        <v>109125000</v>
      </c>
      <c r="L20" s="10">
        <f t="shared" si="0"/>
        <v>0</v>
      </c>
      <c r="M20" s="10">
        <f t="shared" si="1"/>
        <v>0</v>
      </c>
      <c r="N20" s="30">
        <f t="shared" si="33"/>
        <v>87300000.590000004</v>
      </c>
      <c r="O20" s="30">
        <f t="shared" si="33"/>
        <v>21825000.460000001</v>
      </c>
      <c r="P20" s="30">
        <f t="shared" si="33"/>
        <v>109125001.05000001</v>
      </c>
      <c r="Q20" s="30">
        <f t="shared" si="33"/>
        <v>0</v>
      </c>
      <c r="R20" s="30">
        <f t="shared" si="33"/>
        <v>21824632.369999997</v>
      </c>
      <c r="S20" s="30">
        <f t="shared" si="33"/>
        <v>5278894.43</v>
      </c>
      <c r="T20" s="30">
        <f>+T19+T15+T11</f>
        <v>27103526.799999997</v>
      </c>
      <c r="U20" s="9"/>
      <c r="Z20" s="32">
        <f>+N20/I20</f>
        <v>1.0000000067583048</v>
      </c>
      <c r="AA20" s="32">
        <f t="shared" si="3"/>
        <v>1.0000000210767468</v>
      </c>
      <c r="AB20" s="32">
        <f t="shared" si="4"/>
        <v>1.0000000096219932</v>
      </c>
      <c r="AC20" s="12"/>
      <c r="AD20" s="12"/>
      <c r="AE20" s="31">
        <f t="shared" si="5"/>
        <v>0.24999578888888885</v>
      </c>
      <c r="AF20" s="31">
        <f t="shared" si="6"/>
        <v>0.24187374249713631</v>
      </c>
      <c r="AG20" s="31">
        <f t="shared" si="7"/>
        <v>0.24837137961053835</v>
      </c>
      <c r="AH20" s="12"/>
      <c r="AI20" s="12"/>
      <c r="AJ20" s="30">
        <f t="shared" si="8"/>
        <v>-0.59000000357627869</v>
      </c>
      <c r="AK20" s="30">
        <f t="shared" si="9"/>
        <v>-0.46000000089406967</v>
      </c>
      <c r="AL20" s="30">
        <f t="shared" si="10"/>
        <v>-1.050000011920929</v>
      </c>
      <c r="AO20" s="7" t="s">
        <v>73</v>
      </c>
      <c r="AP20" s="21">
        <v>262396.19</v>
      </c>
      <c r="AQ20" s="21"/>
      <c r="AR20" s="21">
        <f t="shared" ref="AR20:AR22" si="34">+AQ20+AP20</f>
        <v>262396.19</v>
      </c>
      <c r="AS20" s="21">
        <v>80619.539999999994</v>
      </c>
      <c r="AU20" s="21">
        <f t="shared" si="25"/>
        <v>80619.539999999994</v>
      </c>
    </row>
    <row r="21" spans="1:47" x14ac:dyDescent="0.25">
      <c r="A21" s="4" t="s">
        <v>24</v>
      </c>
      <c r="B21" s="9"/>
      <c r="C21" s="18">
        <v>15057400</v>
      </c>
      <c r="D21" s="18">
        <v>3764350</v>
      </c>
      <c r="E21" s="18">
        <f t="shared" ref="E21:E24" si="35">+D21+C21</f>
        <v>18821750</v>
      </c>
      <c r="F21" s="18"/>
      <c r="G21" s="18"/>
      <c r="H21" s="18"/>
      <c r="I21" s="18">
        <v>15057400</v>
      </c>
      <c r="J21" s="18">
        <v>3764350</v>
      </c>
      <c r="K21" s="18">
        <f t="shared" ref="K21:K59" si="36">+J21+I21</f>
        <v>18821750</v>
      </c>
      <c r="L21" s="10">
        <f t="shared" si="0"/>
        <v>0</v>
      </c>
      <c r="M21" s="10">
        <f t="shared" si="1"/>
        <v>0</v>
      </c>
      <c r="N21" s="18">
        <f>54089.6+80000+716800+729600+80000+4864000+96000+96000+1910400+57600+16000+16000+128000+128000+204800+4176000-428656+12000+52000-160000+64000+128000+1084800-91608.82-54400+96000+883200</f>
        <v>14938624.779999999</v>
      </c>
      <c r="O21" s="18">
        <f>13522.4+20000+179200+182400+20000+1216000+24000+24000+477600+14400+4000+4000+32000+32000+51200+1044000-107164+3000+13000-40000+16000+32000+271200-22902.2-13600+24000+220800</f>
        <v>3734656.1999999997</v>
      </c>
      <c r="P21" s="18">
        <f t="shared" ref="P21:P24" si="37">+O21+N21</f>
        <v>18673280.98</v>
      </c>
      <c r="Q21" s="10"/>
      <c r="R21" s="18">
        <v>8029200.9299999997</v>
      </c>
      <c r="S21" s="18">
        <v>2007300.25</v>
      </c>
      <c r="T21" s="18">
        <f t="shared" ref="T21:T24" si="38">+S21+R21</f>
        <v>10036501.18</v>
      </c>
      <c r="U21" s="9"/>
      <c r="Z21" s="20">
        <f t="shared" si="2"/>
        <v>0.99211183736900121</v>
      </c>
      <c r="AA21" s="20">
        <f t="shared" si="3"/>
        <v>0.99211183869725172</v>
      </c>
      <c r="AB21" s="20">
        <f t="shared" si="4"/>
        <v>0.99211183763465138</v>
      </c>
      <c r="AC21" s="12"/>
      <c r="AD21" s="12"/>
      <c r="AE21" s="19">
        <f t="shared" si="5"/>
        <v>0.53323953205732733</v>
      </c>
      <c r="AF21" s="19">
        <f t="shared" si="6"/>
        <v>0.53323953670620428</v>
      </c>
      <c r="AG21" s="19">
        <f t="shared" si="7"/>
        <v>0.53323953298710269</v>
      </c>
      <c r="AH21" s="12"/>
      <c r="AI21" s="12"/>
      <c r="AJ21" s="18">
        <f t="shared" si="8"/>
        <v>118775.22000000067</v>
      </c>
      <c r="AK21" s="18">
        <f t="shared" si="9"/>
        <v>29693.800000000279</v>
      </c>
      <c r="AL21" s="18">
        <f t="shared" si="10"/>
        <v>148469.01999999955</v>
      </c>
      <c r="AO21" s="7" t="s">
        <v>75</v>
      </c>
      <c r="AP21" s="21">
        <v>0</v>
      </c>
      <c r="AQ21" s="21"/>
      <c r="AR21" s="21">
        <f t="shared" si="34"/>
        <v>0</v>
      </c>
      <c r="AS21" s="21"/>
      <c r="AU21" s="21">
        <f t="shared" si="25"/>
        <v>0</v>
      </c>
    </row>
    <row r="22" spans="1:47" ht="18.75" customHeight="1" x14ac:dyDescent="0.25">
      <c r="A22" s="22" t="s">
        <v>25</v>
      </c>
      <c r="B22" s="9"/>
      <c r="C22" s="18">
        <v>316000</v>
      </c>
      <c r="D22" s="18">
        <v>79000</v>
      </c>
      <c r="E22" s="18">
        <f t="shared" si="35"/>
        <v>395000</v>
      </c>
      <c r="F22" s="18"/>
      <c r="G22" s="18"/>
      <c r="H22" s="18"/>
      <c r="I22" s="18">
        <v>316000</v>
      </c>
      <c r="J22" s="18">
        <v>79000</v>
      </c>
      <c r="K22" s="18">
        <f t="shared" si="36"/>
        <v>395000</v>
      </c>
      <c r="L22" s="10">
        <f t="shared" si="0"/>
        <v>0</v>
      </c>
      <c r="M22" s="10">
        <f t="shared" si="1"/>
        <v>0</v>
      </c>
      <c r="N22" s="18">
        <v>316000</v>
      </c>
      <c r="O22" s="18">
        <v>79000</v>
      </c>
      <c r="P22" s="18">
        <f t="shared" si="37"/>
        <v>395000</v>
      </c>
      <c r="Q22" s="10"/>
      <c r="R22" s="18">
        <f>+AP16</f>
        <v>258610.96</v>
      </c>
      <c r="S22" s="18">
        <f>+AS16</f>
        <v>64652.710000000014</v>
      </c>
      <c r="T22" s="18">
        <f t="shared" si="38"/>
        <v>323263.67</v>
      </c>
      <c r="U22" s="9"/>
      <c r="Z22" s="20">
        <f t="shared" si="2"/>
        <v>1</v>
      </c>
      <c r="AA22" s="20">
        <f t="shared" si="3"/>
        <v>1</v>
      </c>
      <c r="AB22" s="20">
        <f t="shared" si="4"/>
        <v>1</v>
      </c>
      <c r="AC22" s="12"/>
      <c r="AD22" s="12"/>
      <c r="AE22" s="19">
        <f t="shared" si="5"/>
        <v>0.81838911392405056</v>
      </c>
      <c r="AF22" s="19">
        <f t="shared" si="6"/>
        <v>0.81838873417721536</v>
      </c>
      <c r="AG22" s="19">
        <f t="shared" si="7"/>
        <v>0.81838903797468354</v>
      </c>
      <c r="AH22" s="12"/>
      <c r="AI22" s="12"/>
      <c r="AJ22" s="18">
        <f t="shared" si="8"/>
        <v>0</v>
      </c>
      <c r="AK22" s="18">
        <f t="shared" si="9"/>
        <v>0</v>
      </c>
      <c r="AL22" s="18">
        <f t="shared" si="10"/>
        <v>0</v>
      </c>
      <c r="AO22" s="7" t="s">
        <v>77</v>
      </c>
      <c r="AP22" s="21">
        <v>77346.83</v>
      </c>
      <c r="AQ22" s="21"/>
      <c r="AR22" s="21">
        <f t="shared" si="34"/>
        <v>77346.83</v>
      </c>
      <c r="AS22" s="21">
        <v>160182.87</v>
      </c>
      <c r="AU22" s="21">
        <f t="shared" si="25"/>
        <v>160182.87</v>
      </c>
    </row>
    <row r="23" spans="1:47" x14ac:dyDescent="0.25">
      <c r="A23" s="22" t="s">
        <v>26</v>
      </c>
      <c r="B23" s="9"/>
      <c r="C23" s="18">
        <v>316000</v>
      </c>
      <c r="D23" s="18">
        <v>79000</v>
      </c>
      <c r="E23" s="18">
        <f t="shared" si="35"/>
        <v>395000</v>
      </c>
      <c r="F23" s="18"/>
      <c r="G23" s="18"/>
      <c r="H23" s="18"/>
      <c r="I23" s="18">
        <v>316000</v>
      </c>
      <c r="J23" s="18">
        <v>79000</v>
      </c>
      <c r="K23" s="18">
        <f t="shared" si="36"/>
        <v>395000</v>
      </c>
      <c r="L23" s="10">
        <f t="shared" si="0"/>
        <v>0</v>
      </c>
      <c r="M23" s="10">
        <f t="shared" si="1"/>
        <v>0</v>
      </c>
      <c r="N23" s="18">
        <v>316000</v>
      </c>
      <c r="O23" s="18">
        <v>79000</v>
      </c>
      <c r="P23" s="18">
        <f t="shared" si="37"/>
        <v>395000</v>
      </c>
      <c r="Q23" s="10"/>
      <c r="R23" s="18">
        <f>+AQ16</f>
        <v>207763.49</v>
      </c>
      <c r="S23" s="18">
        <f>+AT16</f>
        <v>59997.39</v>
      </c>
      <c r="T23" s="18">
        <f t="shared" si="38"/>
        <v>267760.88</v>
      </c>
      <c r="U23" s="9"/>
      <c r="Z23" s="20">
        <f t="shared" si="2"/>
        <v>1</v>
      </c>
      <c r="AA23" s="20">
        <f t="shared" si="3"/>
        <v>1</v>
      </c>
      <c r="AB23" s="20">
        <f t="shared" si="4"/>
        <v>1</v>
      </c>
      <c r="AC23" s="12"/>
      <c r="AD23" s="12"/>
      <c r="AE23" s="19">
        <f t="shared" si="5"/>
        <v>0.65747939873417716</v>
      </c>
      <c r="AF23" s="19">
        <f t="shared" si="6"/>
        <v>0.75946063291139243</v>
      </c>
      <c r="AG23" s="19">
        <f t="shared" si="7"/>
        <v>0.67787564556962021</v>
      </c>
      <c r="AH23" s="12"/>
      <c r="AI23" s="12"/>
      <c r="AJ23" s="18">
        <f t="shared" si="8"/>
        <v>0</v>
      </c>
      <c r="AK23" s="18">
        <f t="shared" si="9"/>
        <v>0</v>
      </c>
      <c r="AL23" s="18">
        <f t="shared" si="10"/>
        <v>0</v>
      </c>
      <c r="AP23" s="21">
        <f t="shared" ref="AP23:AU23" si="39">SUM(AP13:AP22)</f>
        <v>3119664.3300000005</v>
      </c>
      <c r="AQ23" s="21">
        <f t="shared" si="39"/>
        <v>2186802.35</v>
      </c>
      <c r="AR23" s="21">
        <f t="shared" si="39"/>
        <v>5306466.6800000006</v>
      </c>
      <c r="AS23" s="21">
        <f>SUM(AS13:AS22)</f>
        <v>733076.31000000017</v>
      </c>
      <c r="AT23" s="21">
        <f t="shared" si="39"/>
        <v>332550.66000000003</v>
      </c>
      <c r="AU23" s="21">
        <f t="shared" si="39"/>
        <v>1065626.9700000002</v>
      </c>
    </row>
    <row r="24" spans="1:47" x14ac:dyDescent="0.25">
      <c r="A24" s="22" t="s">
        <v>9</v>
      </c>
      <c r="B24" s="9"/>
      <c r="C24" s="18">
        <v>110600</v>
      </c>
      <c r="D24" s="18">
        <v>27650</v>
      </c>
      <c r="E24" s="18">
        <f t="shared" si="35"/>
        <v>138250</v>
      </c>
      <c r="F24" s="18"/>
      <c r="G24" s="18"/>
      <c r="H24" s="18"/>
      <c r="I24" s="18">
        <v>110600</v>
      </c>
      <c r="J24" s="18">
        <v>27650</v>
      </c>
      <c r="K24" s="18">
        <f t="shared" si="36"/>
        <v>138250</v>
      </c>
      <c r="L24" s="10">
        <f t="shared" si="0"/>
        <v>0</v>
      </c>
      <c r="M24" s="10">
        <f t="shared" si="1"/>
        <v>0</v>
      </c>
      <c r="N24" s="18">
        <v>110600</v>
      </c>
      <c r="O24" s="18">
        <v>27650</v>
      </c>
      <c r="P24" s="18">
        <f t="shared" si="37"/>
        <v>138250</v>
      </c>
      <c r="Q24" s="10"/>
      <c r="R24" s="18"/>
      <c r="S24" s="18"/>
      <c r="T24" s="18">
        <f t="shared" si="38"/>
        <v>0</v>
      </c>
      <c r="U24" s="9"/>
      <c r="Z24" s="20">
        <f t="shared" si="2"/>
        <v>1</v>
      </c>
      <c r="AA24" s="20">
        <f t="shared" si="3"/>
        <v>1</v>
      </c>
      <c r="AB24" s="20">
        <f t="shared" si="4"/>
        <v>1</v>
      </c>
      <c r="AC24" s="12"/>
      <c r="AD24" s="12"/>
      <c r="AE24" s="19">
        <f t="shared" si="5"/>
        <v>0</v>
      </c>
      <c r="AF24" s="19">
        <f t="shared" si="6"/>
        <v>0</v>
      </c>
      <c r="AG24" s="19">
        <f t="shared" si="7"/>
        <v>0</v>
      </c>
      <c r="AH24" s="12"/>
      <c r="AI24" s="12"/>
      <c r="AJ24" s="18">
        <f t="shared" si="8"/>
        <v>0</v>
      </c>
      <c r="AK24" s="18">
        <f t="shared" si="9"/>
        <v>0</v>
      </c>
      <c r="AL24" s="18">
        <f t="shared" si="10"/>
        <v>0</v>
      </c>
    </row>
    <row r="25" spans="1:47" x14ac:dyDescent="0.25">
      <c r="A25" s="29" t="s">
        <v>29</v>
      </c>
      <c r="B25" s="9"/>
      <c r="C25" s="30">
        <f t="shared" ref="C25:K25" si="40">SUM(C21:C24)</f>
        <v>15800000</v>
      </c>
      <c r="D25" s="30">
        <f t="shared" si="40"/>
        <v>3950000</v>
      </c>
      <c r="E25" s="30">
        <f t="shared" si="40"/>
        <v>19750000</v>
      </c>
      <c r="F25" s="30"/>
      <c r="G25" s="30"/>
      <c r="H25" s="30"/>
      <c r="I25" s="30">
        <f t="shared" si="40"/>
        <v>15800000</v>
      </c>
      <c r="J25" s="30">
        <f t="shared" si="40"/>
        <v>3950000</v>
      </c>
      <c r="K25" s="30">
        <f t="shared" si="40"/>
        <v>19750000</v>
      </c>
      <c r="L25" s="10">
        <f t="shared" si="0"/>
        <v>0</v>
      </c>
      <c r="M25" s="10">
        <f t="shared" si="1"/>
        <v>0</v>
      </c>
      <c r="N25" s="30">
        <f>SUM(N21:N24)</f>
        <v>15681224.779999999</v>
      </c>
      <c r="O25" s="30">
        <f>SUM(O21:O24)</f>
        <v>3920306.1999999997</v>
      </c>
      <c r="P25" s="30">
        <f>SUM(P21:P24)</f>
        <v>19601530.98</v>
      </c>
      <c r="Q25" s="10"/>
      <c r="R25" s="30">
        <f>SUM(R21:R24)</f>
        <v>8495575.379999999</v>
      </c>
      <c r="S25" s="30">
        <f t="shared" ref="S25:T25" si="41">SUM(S21:S24)</f>
        <v>2131950.35</v>
      </c>
      <c r="T25" s="30">
        <f t="shared" si="41"/>
        <v>10627525.73</v>
      </c>
      <c r="U25" s="9"/>
      <c r="Z25" s="32">
        <f t="shared" si="2"/>
        <v>0.99248258101265818</v>
      </c>
      <c r="AA25" s="32">
        <f t="shared" si="3"/>
        <v>0.99248258227848096</v>
      </c>
      <c r="AB25" s="32">
        <f t="shared" si="4"/>
        <v>0.99248258126582278</v>
      </c>
      <c r="AC25" s="12"/>
      <c r="AD25" s="12"/>
      <c r="AE25" s="31">
        <f t="shared" si="5"/>
        <v>0.53769464430379743</v>
      </c>
      <c r="AF25" s="31">
        <f t="shared" si="6"/>
        <v>0.53973426582278483</v>
      </c>
      <c r="AG25" s="31">
        <f t="shared" si="7"/>
        <v>0.53810256860759498</v>
      </c>
      <c r="AH25" s="12"/>
      <c r="AI25" s="12"/>
      <c r="AJ25" s="30">
        <f t="shared" si="8"/>
        <v>118775.22000000067</v>
      </c>
      <c r="AK25" s="30">
        <f t="shared" si="9"/>
        <v>29693.800000000279</v>
      </c>
      <c r="AL25" s="30">
        <f t="shared" si="10"/>
        <v>148469.01999999955</v>
      </c>
      <c r="AP25" s="21">
        <f>+AP23+AS23</f>
        <v>3852740.6400000006</v>
      </c>
      <c r="AQ25" s="21">
        <f t="shared" ref="AQ25:AR25" si="42">+AQ23+AT23</f>
        <v>2519353.0100000002</v>
      </c>
      <c r="AR25" s="21">
        <f t="shared" si="42"/>
        <v>6372093.6500000004</v>
      </c>
    </row>
    <row r="26" spans="1:47" ht="33" customHeight="1" x14ac:dyDescent="0.25">
      <c r="A26" s="4" t="s">
        <v>27</v>
      </c>
      <c r="B26" s="9"/>
      <c r="C26" s="18">
        <v>10355000</v>
      </c>
      <c r="D26" s="18">
        <v>2588750</v>
      </c>
      <c r="E26" s="18">
        <f t="shared" ref="E26:E31" si="43">+D26+C26</f>
        <v>12943750</v>
      </c>
      <c r="F26" s="18"/>
      <c r="G26" s="18"/>
      <c r="H26" s="18"/>
      <c r="I26" s="18">
        <v>10355000</v>
      </c>
      <c r="J26" s="18">
        <v>2588750</v>
      </c>
      <c r="K26" s="18">
        <f t="shared" si="36"/>
        <v>12943750</v>
      </c>
      <c r="L26" s="10">
        <f t="shared" si="0"/>
        <v>0</v>
      </c>
      <c r="M26" s="10">
        <f t="shared" si="1"/>
        <v>0</v>
      </c>
      <c r="N26" s="18">
        <f>576000+9779000</f>
        <v>10355000</v>
      </c>
      <c r="O26" s="18">
        <f>144000+2444750</f>
        <v>2588750</v>
      </c>
      <c r="P26" s="18">
        <f t="shared" ref="P26:P31" si="44">+O26+N26</f>
        <v>12943750</v>
      </c>
      <c r="Q26" s="10"/>
      <c r="R26" s="18">
        <v>5358442.2399999965</v>
      </c>
      <c r="S26" s="18">
        <v>1339610.5599999991</v>
      </c>
      <c r="T26" s="18">
        <f t="shared" ref="T26:T31" si="45">+S26+R26</f>
        <v>6698052.7999999952</v>
      </c>
      <c r="U26" s="9"/>
      <c r="Z26" s="20">
        <f t="shared" si="2"/>
        <v>1</v>
      </c>
      <c r="AA26" s="20">
        <f t="shared" si="3"/>
        <v>1</v>
      </c>
      <c r="AB26" s="20">
        <f t="shared" si="4"/>
        <v>1</v>
      </c>
      <c r="AC26" s="12"/>
      <c r="AD26" s="12"/>
      <c r="AE26" s="19">
        <f t="shared" si="5"/>
        <v>0.51747390053114406</v>
      </c>
      <c r="AF26" s="19">
        <f t="shared" si="6"/>
        <v>0.51747390053114406</v>
      </c>
      <c r="AG26" s="19">
        <f t="shared" si="7"/>
        <v>0.51747390053114395</v>
      </c>
      <c r="AH26" s="12"/>
      <c r="AI26" s="12"/>
      <c r="AJ26" s="18">
        <f t="shared" si="8"/>
        <v>0</v>
      </c>
      <c r="AK26" s="18">
        <f t="shared" si="9"/>
        <v>0</v>
      </c>
      <c r="AL26" s="18">
        <f t="shared" si="10"/>
        <v>0</v>
      </c>
    </row>
    <row r="27" spans="1:47" x14ac:dyDescent="0.25">
      <c r="A27" s="22" t="s">
        <v>25</v>
      </c>
      <c r="B27" s="9"/>
      <c r="C27" s="18">
        <v>218000</v>
      </c>
      <c r="D27" s="18">
        <v>54500</v>
      </c>
      <c r="E27" s="18">
        <f t="shared" si="43"/>
        <v>272500</v>
      </c>
      <c r="F27" s="18"/>
      <c r="G27" s="18"/>
      <c r="H27" s="18"/>
      <c r="I27" s="18">
        <v>218000</v>
      </c>
      <c r="J27" s="18">
        <v>54500</v>
      </c>
      <c r="K27" s="18">
        <f t="shared" si="36"/>
        <v>272500</v>
      </c>
      <c r="L27" s="10">
        <f t="shared" si="0"/>
        <v>0</v>
      </c>
      <c r="M27" s="10">
        <f t="shared" si="1"/>
        <v>0</v>
      </c>
      <c r="N27" s="18">
        <v>218000</v>
      </c>
      <c r="O27" s="18">
        <v>54500</v>
      </c>
      <c r="P27" s="18">
        <f t="shared" si="44"/>
        <v>272500</v>
      </c>
      <c r="Q27" s="10"/>
      <c r="R27" s="18">
        <f>+AP17</f>
        <v>128832.29</v>
      </c>
      <c r="S27" s="18">
        <f>+AS17</f>
        <v>32208.06</v>
      </c>
      <c r="T27" s="18">
        <f t="shared" si="45"/>
        <v>161040.35</v>
      </c>
      <c r="U27" s="9"/>
      <c r="Z27" s="20">
        <f t="shared" si="2"/>
        <v>1</v>
      </c>
      <c r="AA27" s="20">
        <f t="shared" si="3"/>
        <v>1</v>
      </c>
      <c r="AB27" s="20">
        <f t="shared" si="4"/>
        <v>1</v>
      </c>
      <c r="AC27" s="12"/>
      <c r="AD27" s="12"/>
      <c r="AE27" s="19">
        <f t="shared" si="5"/>
        <v>0.59097380733944949</v>
      </c>
      <c r="AF27" s="19">
        <f t="shared" si="6"/>
        <v>0.5909735779816514</v>
      </c>
      <c r="AG27" s="19">
        <f t="shared" si="7"/>
        <v>0.59097376146788994</v>
      </c>
      <c r="AH27" s="12"/>
      <c r="AI27" s="12"/>
      <c r="AJ27" s="18">
        <f t="shared" si="8"/>
        <v>0</v>
      </c>
      <c r="AK27" s="18">
        <f t="shared" si="9"/>
        <v>0</v>
      </c>
      <c r="AL27" s="18">
        <f t="shared" si="10"/>
        <v>0</v>
      </c>
    </row>
    <row r="28" spans="1:47" x14ac:dyDescent="0.25">
      <c r="A28" s="22" t="s">
        <v>26</v>
      </c>
      <c r="B28" s="9"/>
      <c r="C28" s="18">
        <v>218000</v>
      </c>
      <c r="D28" s="18">
        <v>54500</v>
      </c>
      <c r="E28" s="18">
        <f t="shared" si="43"/>
        <v>272500</v>
      </c>
      <c r="F28" s="18"/>
      <c r="G28" s="18"/>
      <c r="H28" s="18"/>
      <c r="I28" s="18">
        <v>218000</v>
      </c>
      <c r="J28" s="18">
        <v>54500</v>
      </c>
      <c r="K28" s="18">
        <f t="shared" si="36"/>
        <v>272500</v>
      </c>
      <c r="L28" s="10">
        <f t="shared" si="0"/>
        <v>0</v>
      </c>
      <c r="M28" s="10">
        <f t="shared" si="1"/>
        <v>0</v>
      </c>
      <c r="N28" s="18">
        <v>218000</v>
      </c>
      <c r="O28" s="18">
        <v>54500</v>
      </c>
      <c r="P28" s="18">
        <f t="shared" si="44"/>
        <v>272500</v>
      </c>
      <c r="Q28" s="10"/>
      <c r="R28" s="18">
        <f>+AQ17</f>
        <v>65347.87</v>
      </c>
      <c r="S28" s="18">
        <f>+AT17</f>
        <v>0</v>
      </c>
      <c r="T28" s="18">
        <f t="shared" si="45"/>
        <v>65347.87</v>
      </c>
      <c r="U28" s="9"/>
      <c r="Z28" s="20">
        <f t="shared" si="2"/>
        <v>1</v>
      </c>
      <c r="AA28" s="20">
        <f t="shared" si="3"/>
        <v>1</v>
      </c>
      <c r="AB28" s="20">
        <f t="shared" si="4"/>
        <v>1</v>
      </c>
      <c r="AC28" s="12"/>
      <c r="AD28" s="12"/>
      <c r="AE28" s="19">
        <f t="shared" si="5"/>
        <v>0.29976087155963305</v>
      </c>
      <c r="AF28" s="19">
        <f t="shared" si="6"/>
        <v>0</v>
      </c>
      <c r="AG28" s="19">
        <f t="shared" si="7"/>
        <v>0.23980869724770643</v>
      </c>
      <c r="AH28" s="12"/>
      <c r="AI28" s="12"/>
      <c r="AJ28" s="18">
        <f t="shared" si="8"/>
        <v>0</v>
      </c>
      <c r="AK28" s="18">
        <f t="shared" si="9"/>
        <v>0</v>
      </c>
      <c r="AL28" s="18">
        <f t="shared" si="10"/>
        <v>0</v>
      </c>
    </row>
    <row r="29" spans="1:47" x14ac:dyDescent="0.25">
      <c r="A29" s="22" t="s">
        <v>9</v>
      </c>
      <c r="B29" s="9"/>
      <c r="C29" s="18">
        <v>76300</v>
      </c>
      <c r="D29" s="18">
        <v>19075</v>
      </c>
      <c r="E29" s="18">
        <f t="shared" si="43"/>
        <v>95375</v>
      </c>
      <c r="F29" s="18"/>
      <c r="G29" s="18"/>
      <c r="H29" s="18"/>
      <c r="I29" s="18">
        <v>76300</v>
      </c>
      <c r="J29" s="18">
        <v>19075</v>
      </c>
      <c r="K29" s="18">
        <f t="shared" si="36"/>
        <v>95375</v>
      </c>
      <c r="L29" s="10">
        <f t="shared" si="0"/>
        <v>0</v>
      </c>
      <c r="M29" s="10">
        <f t="shared" si="1"/>
        <v>0</v>
      </c>
      <c r="N29" s="18">
        <v>76300</v>
      </c>
      <c r="O29" s="18">
        <v>19075</v>
      </c>
      <c r="P29" s="18">
        <f t="shared" si="44"/>
        <v>95375</v>
      </c>
      <c r="Q29" s="10"/>
      <c r="R29" s="18"/>
      <c r="S29" s="18"/>
      <c r="T29" s="18">
        <f t="shared" si="45"/>
        <v>0</v>
      </c>
      <c r="U29" s="9"/>
      <c r="Z29" s="20">
        <f t="shared" si="2"/>
        <v>1</v>
      </c>
      <c r="AA29" s="20">
        <f t="shared" si="3"/>
        <v>1</v>
      </c>
      <c r="AB29" s="20">
        <f t="shared" si="4"/>
        <v>1</v>
      </c>
      <c r="AC29" s="12"/>
      <c r="AD29" s="12"/>
      <c r="AE29" s="19">
        <f t="shared" si="5"/>
        <v>0</v>
      </c>
      <c r="AF29" s="19">
        <f t="shared" si="6"/>
        <v>0</v>
      </c>
      <c r="AG29" s="19">
        <f t="shared" si="7"/>
        <v>0</v>
      </c>
      <c r="AH29" s="12"/>
      <c r="AI29" s="12"/>
      <c r="AJ29" s="18">
        <f t="shared" si="8"/>
        <v>0</v>
      </c>
      <c r="AK29" s="18">
        <f t="shared" si="9"/>
        <v>0</v>
      </c>
      <c r="AL29" s="18">
        <f t="shared" si="10"/>
        <v>0</v>
      </c>
    </row>
    <row r="30" spans="1:47" ht="18.75" customHeight="1" x14ac:dyDescent="0.25">
      <c r="A30" s="22" t="s">
        <v>32</v>
      </c>
      <c r="B30" s="9"/>
      <c r="C30" s="18">
        <v>27250</v>
      </c>
      <c r="D30" s="18">
        <v>6812.5</v>
      </c>
      <c r="E30" s="18">
        <f t="shared" si="43"/>
        <v>34062.5</v>
      </c>
      <c r="F30" s="18"/>
      <c r="G30" s="18"/>
      <c r="H30" s="18"/>
      <c r="I30" s="18"/>
      <c r="J30" s="18">
        <v>6812.5</v>
      </c>
      <c r="K30" s="18">
        <f t="shared" si="36"/>
        <v>6812.5</v>
      </c>
      <c r="L30" s="10">
        <f t="shared" si="0"/>
        <v>27250</v>
      </c>
      <c r="M30" s="10">
        <f t="shared" si="1"/>
        <v>0</v>
      </c>
      <c r="N30" s="18"/>
      <c r="O30" s="18"/>
      <c r="P30" s="18">
        <f t="shared" si="44"/>
        <v>0</v>
      </c>
      <c r="Q30" s="10"/>
      <c r="R30" s="18"/>
      <c r="S30" s="18"/>
      <c r="T30" s="18">
        <f t="shared" si="45"/>
        <v>0</v>
      </c>
      <c r="U30" s="9"/>
      <c r="Z30" s="20"/>
      <c r="AA30" s="20">
        <f t="shared" ref="AA30:AB32" si="46">+O30/J30</f>
        <v>0</v>
      </c>
      <c r="AB30" s="20">
        <f t="shared" si="46"/>
        <v>0</v>
      </c>
      <c r="AC30" s="12"/>
      <c r="AD30" s="12"/>
      <c r="AE30" s="19"/>
      <c r="AF30" s="19">
        <f t="shared" ref="AF30:AG32" si="47">+S30/J30</f>
        <v>0</v>
      </c>
      <c r="AG30" s="19">
        <f t="shared" si="47"/>
        <v>0</v>
      </c>
      <c r="AH30" s="12"/>
      <c r="AI30" s="12"/>
      <c r="AJ30" s="18">
        <f t="shared" si="8"/>
        <v>0</v>
      </c>
      <c r="AK30" s="18">
        <f t="shared" si="9"/>
        <v>6812.5</v>
      </c>
      <c r="AL30" s="18">
        <f t="shared" si="10"/>
        <v>6812.5</v>
      </c>
      <c r="AP30" s="21"/>
      <c r="AQ30" s="21"/>
    </row>
    <row r="31" spans="1:47" x14ac:dyDescent="0.25">
      <c r="A31" s="33">
        <v>5.0000000000000001E-4</v>
      </c>
      <c r="B31" s="9"/>
      <c r="C31" s="18">
        <v>5450</v>
      </c>
      <c r="D31" s="18">
        <v>1362.5</v>
      </c>
      <c r="E31" s="18">
        <f t="shared" si="43"/>
        <v>6812.5</v>
      </c>
      <c r="F31" s="18"/>
      <c r="G31" s="18"/>
      <c r="H31" s="18"/>
      <c r="I31" s="18">
        <v>5450</v>
      </c>
      <c r="J31" s="18">
        <v>1362.5</v>
      </c>
      <c r="K31" s="18">
        <f t="shared" si="36"/>
        <v>6812.5</v>
      </c>
      <c r="L31" s="10">
        <f t="shared" si="0"/>
        <v>0</v>
      </c>
      <c r="M31" s="10">
        <f t="shared" si="1"/>
        <v>0</v>
      </c>
      <c r="N31" s="18"/>
      <c r="O31" s="18"/>
      <c r="P31" s="18">
        <f t="shared" si="44"/>
        <v>0</v>
      </c>
      <c r="Q31" s="10"/>
      <c r="R31" s="18"/>
      <c r="S31" s="18"/>
      <c r="T31" s="18">
        <f t="shared" si="45"/>
        <v>0</v>
      </c>
      <c r="U31" s="9"/>
      <c r="Z31" s="20">
        <f>+N31/I31</f>
        <v>0</v>
      </c>
      <c r="AA31" s="20">
        <f t="shared" si="46"/>
        <v>0</v>
      </c>
      <c r="AB31" s="20">
        <f t="shared" si="46"/>
        <v>0</v>
      </c>
      <c r="AC31" s="12"/>
      <c r="AD31" s="12"/>
      <c r="AE31" s="19">
        <f>+R31/I31</f>
        <v>0</v>
      </c>
      <c r="AF31" s="19">
        <f t="shared" si="47"/>
        <v>0</v>
      </c>
      <c r="AG31" s="19">
        <f t="shared" si="47"/>
        <v>0</v>
      </c>
      <c r="AH31" s="12"/>
      <c r="AI31" s="12"/>
      <c r="AJ31" s="18">
        <f t="shared" si="8"/>
        <v>5450</v>
      </c>
      <c r="AK31" s="18">
        <f t="shared" si="9"/>
        <v>1362.5</v>
      </c>
      <c r="AL31" s="18">
        <f t="shared" si="10"/>
        <v>6812.5</v>
      </c>
      <c r="AP31" s="21"/>
      <c r="AQ31" s="21"/>
    </row>
    <row r="32" spans="1:47" x14ac:dyDescent="0.25">
      <c r="A32" s="29" t="s">
        <v>30</v>
      </c>
      <c r="B32" s="9"/>
      <c r="C32" s="30">
        <f>SUM(C26:C31)</f>
        <v>10900000</v>
      </c>
      <c r="D32" s="30">
        <f t="shared" ref="D32:E32" si="48">SUM(D26:D31)</f>
        <v>2725000</v>
      </c>
      <c r="E32" s="30">
        <f t="shared" si="48"/>
        <v>13625000</v>
      </c>
      <c r="F32" s="30"/>
      <c r="G32" s="30"/>
      <c r="H32" s="30"/>
      <c r="I32" s="30">
        <f>SUM(I26:I31)</f>
        <v>10872750</v>
      </c>
      <c r="J32" s="30">
        <f t="shared" ref="J32:K32" si="49">SUM(J26:J31)</f>
        <v>2725000</v>
      </c>
      <c r="K32" s="30">
        <f t="shared" si="49"/>
        <v>13597750</v>
      </c>
      <c r="L32" s="10">
        <f t="shared" si="0"/>
        <v>27250</v>
      </c>
      <c r="M32" s="10">
        <f t="shared" si="1"/>
        <v>0</v>
      </c>
      <c r="N32" s="30">
        <f>SUM(N26:N31)</f>
        <v>10867300</v>
      </c>
      <c r="O32" s="30">
        <f t="shared" ref="O32:P32" si="50">SUM(O26:O31)</f>
        <v>2716825</v>
      </c>
      <c r="P32" s="30">
        <f t="shared" si="50"/>
        <v>13584125</v>
      </c>
      <c r="Q32" s="10"/>
      <c r="R32" s="30">
        <f>SUM(R26:R31)</f>
        <v>5552622.3999999966</v>
      </c>
      <c r="S32" s="30">
        <f t="shared" ref="S32:T32" si="51">SUM(S26:S31)</f>
        <v>1371818.6199999992</v>
      </c>
      <c r="T32" s="30">
        <f t="shared" si="51"/>
        <v>6924441.0199999949</v>
      </c>
      <c r="U32" s="9"/>
      <c r="Z32" s="32">
        <f>+N32/I32</f>
        <v>0.99949874686716789</v>
      </c>
      <c r="AA32" s="32">
        <f t="shared" si="46"/>
        <v>0.997</v>
      </c>
      <c r="AB32" s="32">
        <f t="shared" si="46"/>
        <v>0.99899799599198402</v>
      </c>
      <c r="AC32" s="12"/>
      <c r="AD32" s="12"/>
      <c r="AE32" s="31">
        <f>+R32/I32</f>
        <v>0.51069162815295088</v>
      </c>
      <c r="AF32" s="31">
        <f t="shared" si="47"/>
        <v>0.50341967706421986</v>
      </c>
      <c r="AG32" s="31">
        <f t="shared" si="47"/>
        <v>0.50923432332554985</v>
      </c>
      <c r="AH32" s="12"/>
      <c r="AI32" s="12"/>
      <c r="AJ32" s="30">
        <f t="shared" si="8"/>
        <v>5450</v>
      </c>
      <c r="AK32" s="30">
        <f t="shared" si="9"/>
        <v>8175</v>
      </c>
      <c r="AL32" s="30">
        <f t="shared" si="10"/>
        <v>13625</v>
      </c>
      <c r="AP32" s="21">
        <f>+AP30+AP23</f>
        <v>3119664.3300000005</v>
      </c>
      <c r="AQ32" s="21">
        <f>+AQ30+AS23</f>
        <v>733076.31000000017</v>
      </c>
    </row>
    <row r="33" spans="1:48" ht="31.5" customHeight="1" x14ac:dyDescent="0.25">
      <c r="A33" s="4" t="s">
        <v>15</v>
      </c>
      <c r="B33" s="9"/>
      <c r="C33" s="18">
        <f>97800000-4890000</f>
        <v>92910000</v>
      </c>
      <c r="D33" s="18"/>
      <c r="E33" s="18">
        <f t="shared" ref="E33:E44" si="52">+D33+C33</f>
        <v>92910000</v>
      </c>
      <c r="F33" s="18"/>
      <c r="G33" s="18"/>
      <c r="H33" s="18"/>
      <c r="I33" s="18">
        <v>90954000</v>
      </c>
      <c r="J33" s="18"/>
      <c r="K33" s="18">
        <f t="shared" si="36"/>
        <v>90954000</v>
      </c>
      <c r="L33" s="10">
        <f t="shared" si="0"/>
        <v>1956000</v>
      </c>
      <c r="M33" s="10">
        <f t="shared" si="1"/>
        <v>0</v>
      </c>
      <c r="N33" s="18">
        <f>33750000+5400000+2730000+3260870-6900+10920000+34756552+143478</f>
        <v>90954000</v>
      </c>
      <c r="O33" s="18"/>
      <c r="P33" s="18">
        <f t="shared" ref="P33:P44" si="53">+O33+N33</f>
        <v>90954000</v>
      </c>
      <c r="Q33" s="10"/>
      <c r="R33" s="18">
        <v>21326514.219999999</v>
      </c>
      <c r="S33" s="18"/>
      <c r="T33" s="18">
        <f t="shared" ref="T33:T44" si="54">+S33+R33</f>
        <v>21326514.219999999</v>
      </c>
      <c r="U33" s="9"/>
      <c r="Z33" s="20">
        <f>+N33/I33</f>
        <v>1</v>
      </c>
      <c r="AA33" s="20"/>
      <c r="AB33" s="20">
        <f>+P33/K33</f>
        <v>1</v>
      </c>
      <c r="AC33" s="12"/>
      <c r="AD33" s="12"/>
      <c r="AE33" s="19">
        <f>+R33/I33</f>
        <v>0.23447582536227102</v>
      </c>
      <c r="AF33" s="19"/>
      <c r="AG33" s="19">
        <f>+T33/K33</f>
        <v>0.23447582536227102</v>
      </c>
      <c r="AH33" s="12"/>
      <c r="AI33" s="12"/>
      <c r="AJ33" s="18">
        <f t="shared" si="8"/>
        <v>0</v>
      </c>
      <c r="AK33" s="18">
        <f t="shared" si="9"/>
        <v>0</v>
      </c>
      <c r="AL33" s="18">
        <f t="shared" si="10"/>
        <v>0</v>
      </c>
      <c r="AP33" s="21"/>
      <c r="AQ33" s="21"/>
    </row>
    <row r="34" spans="1:48" ht="24" x14ac:dyDescent="0.25">
      <c r="A34" s="22" t="s">
        <v>33</v>
      </c>
      <c r="B34" s="9"/>
      <c r="C34" s="18">
        <v>1339860</v>
      </c>
      <c r="D34" s="18"/>
      <c r="E34" s="18">
        <f t="shared" si="52"/>
        <v>1339860</v>
      </c>
      <c r="F34" s="18"/>
      <c r="G34" s="18"/>
      <c r="H34" s="18"/>
      <c r="I34" s="18">
        <v>1339860</v>
      </c>
      <c r="J34" s="18"/>
      <c r="K34" s="18">
        <f t="shared" si="36"/>
        <v>1339860</v>
      </c>
      <c r="L34" s="10">
        <f t="shared" si="0"/>
        <v>0</v>
      </c>
      <c r="M34" s="10">
        <f t="shared" si="1"/>
        <v>0</v>
      </c>
      <c r="N34" s="18">
        <v>1339860</v>
      </c>
      <c r="O34" s="18"/>
      <c r="P34" s="18">
        <f t="shared" si="53"/>
        <v>1339860</v>
      </c>
      <c r="Q34" s="10"/>
      <c r="R34" s="18">
        <f>+AP18</f>
        <v>1010520.1699999999</v>
      </c>
      <c r="S34" s="18"/>
      <c r="T34" s="18">
        <f t="shared" si="54"/>
        <v>1010520.1699999999</v>
      </c>
      <c r="U34" s="9"/>
      <c r="Z34" s="20">
        <f>+N34/I34</f>
        <v>1</v>
      </c>
      <c r="AA34" s="20"/>
      <c r="AB34" s="20">
        <f>+P34/K34</f>
        <v>1</v>
      </c>
      <c r="AC34" s="12"/>
      <c r="AD34" s="12"/>
      <c r="AE34" s="19">
        <f>+R34/I34</f>
        <v>0.7541983266908483</v>
      </c>
      <c r="AF34" s="19"/>
      <c r="AG34" s="19">
        <f>+T34/K34</f>
        <v>0.7541983266908483</v>
      </c>
      <c r="AH34" s="12"/>
      <c r="AI34" s="12"/>
      <c r="AJ34" s="18">
        <f t="shared" si="8"/>
        <v>0</v>
      </c>
      <c r="AK34" s="18">
        <f t="shared" si="9"/>
        <v>0</v>
      </c>
      <c r="AL34" s="18">
        <f t="shared" si="10"/>
        <v>0</v>
      </c>
    </row>
    <row r="35" spans="1:48" ht="24" x14ac:dyDescent="0.25">
      <c r="A35" s="22" t="s">
        <v>34</v>
      </c>
      <c r="B35" s="9"/>
      <c r="C35" s="18">
        <v>684600</v>
      </c>
      <c r="D35" s="18"/>
      <c r="E35" s="18">
        <f t="shared" si="52"/>
        <v>684600</v>
      </c>
      <c r="F35" s="18"/>
      <c r="G35" s="18"/>
      <c r="H35" s="18"/>
      <c r="I35" s="18">
        <v>684600</v>
      </c>
      <c r="J35" s="18"/>
      <c r="K35" s="18">
        <f t="shared" si="36"/>
        <v>684600</v>
      </c>
      <c r="L35" s="10">
        <f t="shared" si="0"/>
        <v>0</v>
      </c>
      <c r="M35" s="10">
        <f t="shared" si="1"/>
        <v>0</v>
      </c>
      <c r="N35" s="18">
        <v>684600</v>
      </c>
      <c r="O35" s="18"/>
      <c r="P35" s="18">
        <f t="shared" si="53"/>
        <v>684600</v>
      </c>
      <c r="Q35" s="10"/>
      <c r="R35" s="18">
        <f>+AQ18</f>
        <v>622236.34</v>
      </c>
      <c r="S35" s="18"/>
      <c r="T35" s="18">
        <f t="shared" si="54"/>
        <v>622236.34</v>
      </c>
      <c r="U35" s="9"/>
      <c r="Z35" s="20">
        <f>+N35/I35</f>
        <v>1</v>
      </c>
      <c r="AA35" s="20"/>
      <c r="AB35" s="20">
        <f>+P35/K35</f>
        <v>1</v>
      </c>
      <c r="AC35" s="12"/>
      <c r="AD35" s="12"/>
      <c r="AE35" s="19">
        <f>+R35/I35</f>
        <v>0.90890496640373941</v>
      </c>
      <c r="AF35" s="19"/>
      <c r="AG35" s="19">
        <f>+T35/K35</f>
        <v>0.90890496640373941</v>
      </c>
      <c r="AH35" s="12"/>
      <c r="AI35" s="12"/>
      <c r="AJ35" s="18">
        <f t="shared" si="8"/>
        <v>0</v>
      </c>
      <c r="AK35" s="18">
        <f t="shared" si="9"/>
        <v>0</v>
      </c>
      <c r="AL35" s="18">
        <f t="shared" si="10"/>
        <v>0</v>
      </c>
    </row>
    <row r="36" spans="1:48" s="5" customFormat="1" ht="22.5" x14ac:dyDescent="0.25">
      <c r="A36" s="34" t="s">
        <v>35</v>
      </c>
      <c r="B36" s="35"/>
      <c r="C36" s="18">
        <v>342300</v>
      </c>
      <c r="D36" s="36"/>
      <c r="E36" s="36">
        <f t="shared" si="52"/>
        <v>342300</v>
      </c>
      <c r="F36" s="36"/>
      <c r="G36" s="36"/>
      <c r="H36" s="36"/>
      <c r="I36" s="36"/>
      <c r="J36" s="36"/>
      <c r="K36" s="36">
        <f t="shared" si="36"/>
        <v>0</v>
      </c>
      <c r="L36" s="10">
        <f t="shared" si="0"/>
        <v>342300</v>
      </c>
      <c r="M36" s="10">
        <f t="shared" si="1"/>
        <v>0</v>
      </c>
      <c r="N36" s="36"/>
      <c r="O36" s="36"/>
      <c r="P36" s="36">
        <f t="shared" si="53"/>
        <v>0</v>
      </c>
      <c r="Q36" s="37"/>
      <c r="R36" s="36"/>
      <c r="S36" s="36"/>
      <c r="T36" s="36">
        <f t="shared" si="54"/>
        <v>0</v>
      </c>
      <c r="U36" s="9"/>
      <c r="V36" s="7"/>
      <c r="W36" s="39"/>
      <c r="X36" s="40"/>
      <c r="Y36" s="40"/>
      <c r="Z36" s="41"/>
      <c r="AA36" s="41"/>
      <c r="AB36" s="41"/>
      <c r="AC36" s="12"/>
      <c r="AD36" s="12"/>
      <c r="AE36" s="38"/>
      <c r="AF36" s="38"/>
      <c r="AG36" s="38"/>
      <c r="AH36" s="12"/>
      <c r="AI36" s="12"/>
      <c r="AJ36" s="36">
        <f t="shared" si="8"/>
        <v>0</v>
      </c>
      <c r="AK36" s="36">
        <f t="shared" si="9"/>
        <v>0</v>
      </c>
      <c r="AL36" s="36">
        <f t="shared" si="10"/>
        <v>0</v>
      </c>
      <c r="AM36" s="39"/>
      <c r="AN36" s="39"/>
      <c r="AO36" s="7"/>
      <c r="AP36" s="7"/>
      <c r="AQ36" s="7"/>
      <c r="AR36" s="7"/>
      <c r="AS36" s="7"/>
      <c r="AT36" s="7"/>
      <c r="AU36" s="7"/>
      <c r="AV36" s="39"/>
    </row>
    <row r="37" spans="1:48" s="5" customFormat="1" ht="22.5" x14ac:dyDescent="0.25">
      <c r="A37" s="34" t="s">
        <v>36</v>
      </c>
      <c r="B37" s="35"/>
      <c r="C37" s="18">
        <v>224940</v>
      </c>
      <c r="D37" s="36"/>
      <c r="E37" s="36">
        <f t="shared" si="52"/>
        <v>224940</v>
      </c>
      <c r="F37" s="36"/>
      <c r="G37" s="36"/>
      <c r="H37" s="36"/>
      <c r="I37" s="36"/>
      <c r="J37" s="36"/>
      <c r="K37" s="36">
        <f t="shared" si="36"/>
        <v>0</v>
      </c>
      <c r="L37" s="10">
        <f t="shared" si="0"/>
        <v>224940</v>
      </c>
      <c r="M37" s="10">
        <f t="shared" si="1"/>
        <v>0</v>
      </c>
      <c r="N37" s="36"/>
      <c r="O37" s="36"/>
      <c r="P37" s="36">
        <f t="shared" si="53"/>
        <v>0</v>
      </c>
      <c r="Q37" s="37"/>
      <c r="R37" s="36"/>
      <c r="S37" s="36"/>
      <c r="T37" s="36">
        <f t="shared" si="54"/>
        <v>0</v>
      </c>
      <c r="U37" s="9"/>
      <c r="V37" s="7"/>
      <c r="W37" s="39"/>
      <c r="X37" s="40"/>
      <c r="Y37" s="40"/>
      <c r="Z37" s="41"/>
      <c r="AA37" s="41"/>
      <c r="AB37" s="41"/>
      <c r="AC37" s="12"/>
      <c r="AD37" s="12"/>
      <c r="AE37" s="38"/>
      <c r="AF37" s="38"/>
      <c r="AG37" s="38"/>
      <c r="AH37" s="12"/>
      <c r="AI37" s="12"/>
      <c r="AJ37" s="36">
        <f t="shared" si="8"/>
        <v>0</v>
      </c>
      <c r="AK37" s="36">
        <f t="shared" si="9"/>
        <v>0</v>
      </c>
      <c r="AL37" s="36">
        <f t="shared" si="10"/>
        <v>0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s="5" customFormat="1" x14ac:dyDescent="0.25">
      <c r="A38" s="34" t="s">
        <v>37</v>
      </c>
      <c r="B38" s="35"/>
      <c r="C38" s="18">
        <v>48900</v>
      </c>
      <c r="D38" s="36"/>
      <c r="E38" s="36">
        <f t="shared" si="52"/>
        <v>48900</v>
      </c>
      <c r="F38" s="36"/>
      <c r="G38" s="36"/>
      <c r="H38" s="36"/>
      <c r="I38" s="36"/>
      <c r="J38" s="36"/>
      <c r="K38" s="36">
        <f t="shared" si="36"/>
        <v>0</v>
      </c>
      <c r="L38" s="10">
        <f t="shared" si="0"/>
        <v>48900</v>
      </c>
      <c r="M38" s="10">
        <f t="shared" si="1"/>
        <v>0</v>
      </c>
      <c r="N38" s="36"/>
      <c r="O38" s="36"/>
      <c r="P38" s="36">
        <f t="shared" si="53"/>
        <v>0</v>
      </c>
      <c r="Q38" s="37"/>
      <c r="R38" s="36"/>
      <c r="S38" s="36"/>
      <c r="T38" s="36">
        <f t="shared" si="54"/>
        <v>0</v>
      </c>
      <c r="U38" s="9"/>
      <c r="V38" s="7"/>
      <c r="W38" s="39"/>
      <c r="X38" s="40"/>
      <c r="Y38" s="40"/>
      <c r="Z38" s="41"/>
      <c r="AA38" s="41"/>
      <c r="AB38" s="41"/>
      <c r="AC38" s="12"/>
      <c r="AD38" s="12"/>
      <c r="AE38" s="38"/>
      <c r="AF38" s="38"/>
      <c r="AG38" s="38"/>
      <c r="AH38" s="12"/>
      <c r="AI38" s="12"/>
      <c r="AJ38" s="36">
        <f t="shared" si="8"/>
        <v>0</v>
      </c>
      <c r="AK38" s="36">
        <f t="shared" si="9"/>
        <v>0</v>
      </c>
      <c r="AL38" s="36">
        <f t="shared" si="10"/>
        <v>0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s="5" customFormat="1" x14ac:dyDescent="0.25">
      <c r="A39" s="34" t="s">
        <v>38</v>
      </c>
      <c r="B39" s="35"/>
      <c r="C39" s="18">
        <v>342300</v>
      </c>
      <c r="D39" s="36"/>
      <c r="E39" s="36">
        <f t="shared" si="52"/>
        <v>342300</v>
      </c>
      <c r="F39" s="36"/>
      <c r="G39" s="36"/>
      <c r="H39" s="36"/>
      <c r="I39" s="36"/>
      <c r="J39" s="36"/>
      <c r="K39" s="36">
        <f t="shared" si="36"/>
        <v>0</v>
      </c>
      <c r="L39" s="10">
        <f t="shared" si="0"/>
        <v>342300</v>
      </c>
      <c r="M39" s="10">
        <f t="shared" si="1"/>
        <v>0</v>
      </c>
      <c r="N39" s="36"/>
      <c r="O39" s="36"/>
      <c r="P39" s="36">
        <f t="shared" si="53"/>
        <v>0</v>
      </c>
      <c r="Q39" s="37"/>
      <c r="R39" s="36"/>
      <c r="S39" s="36"/>
      <c r="T39" s="36">
        <f t="shared" si="54"/>
        <v>0</v>
      </c>
      <c r="U39" s="9"/>
      <c r="V39" s="7"/>
      <c r="W39" s="39"/>
      <c r="X39" s="40"/>
      <c r="Y39" s="40"/>
      <c r="Z39" s="41"/>
      <c r="AA39" s="41"/>
      <c r="AB39" s="41"/>
      <c r="AC39" s="12"/>
      <c r="AD39" s="12"/>
      <c r="AE39" s="38"/>
      <c r="AF39" s="38"/>
      <c r="AG39" s="38"/>
      <c r="AH39" s="12"/>
      <c r="AI39" s="12"/>
      <c r="AJ39" s="36">
        <f t="shared" si="8"/>
        <v>0</v>
      </c>
      <c r="AK39" s="36">
        <f t="shared" si="9"/>
        <v>0</v>
      </c>
      <c r="AL39" s="36">
        <f t="shared" si="10"/>
        <v>0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s="5" customFormat="1" x14ac:dyDescent="0.25">
      <c r="A40" s="34" t="s">
        <v>39</v>
      </c>
      <c r="B40" s="35"/>
      <c r="C40" s="18">
        <v>244500</v>
      </c>
      <c r="D40" s="36"/>
      <c r="E40" s="36">
        <f t="shared" si="52"/>
        <v>244500</v>
      </c>
      <c r="F40" s="36"/>
      <c r="G40" s="36"/>
      <c r="H40" s="36"/>
      <c r="I40" s="36"/>
      <c r="J40" s="36"/>
      <c r="K40" s="36"/>
      <c r="L40" s="10">
        <f t="shared" ref="L40:L66" si="55">+C40-I40</f>
        <v>244500</v>
      </c>
      <c r="M40" s="10">
        <f t="shared" ref="M40:M66" si="56">+D40-J40</f>
        <v>0</v>
      </c>
      <c r="N40" s="36"/>
      <c r="O40" s="36"/>
      <c r="P40" s="36">
        <f t="shared" si="53"/>
        <v>0</v>
      </c>
      <c r="Q40" s="37"/>
      <c r="R40" s="36"/>
      <c r="S40" s="36"/>
      <c r="T40" s="36">
        <f t="shared" si="54"/>
        <v>0</v>
      </c>
      <c r="U40" s="9"/>
      <c r="V40" s="7"/>
      <c r="W40" s="39"/>
      <c r="X40" s="40"/>
      <c r="Y40" s="40"/>
      <c r="Z40" s="41"/>
      <c r="AA40" s="41"/>
      <c r="AB40" s="41"/>
      <c r="AC40" s="12"/>
      <c r="AD40" s="12"/>
      <c r="AE40" s="38"/>
      <c r="AF40" s="38"/>
      <c r="AG40" s="38"/>
      <c r="AH40" s="12"/>
      <c r="AI40" s="12"/>
      <c r="AJ40" s="36">
        <f t="shared" ref="AJ40:AJ63" si="57">+I40-N40</f>
        <v>0</v>
      </c>
      <c r="AK40" s="36">
        <f t="shared" ref="AK40:AK63" si="58">+J40-O40</f>
        <v>0</v>
      </c>
      <c r="AL40" s="36">
        <f t="shared" ref="AL40:AL63" si="59">+K40-P40</f>
        <v>0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s="5" customFormat="1" x14ac:dyDescent="0.25">
      <c r="A41" s="34" t="s">
        <v>40</v>
      </c>
      <c r="B41" s="35"/>
      <c r="C41" s="18">
        <v>293400</v>
      </c>
      <c r="D41" s="36"/>
      <c r="E41" s="36">
        <f t="shared" si="52"/>
        <v>293400</v>
      </c>
      <c r="F41" s="36"/>
      <c r="G41" s="36"/>
      <c r="H41" s="36"/>
      <c r="I41" s="36"/>
      <c r="J41" s="36"/>
      <c r="K41" s="36"/>
      <c r="L41" s="10">
        <f t="shared" si="55"/>
        <v>293400</v>
      </c>
      <c r="M41" s="10">
        <f t="shared" si="56"/>
        <v>0</v>
      </c>
      <c r="N41" s="36"/>
      <c r="O41" s="36"/>
      <c r="P41" s="36">
        <f t="shared" si="53"/>
        <v>0</v>
      </c>
      <c r="Q41" s="37"/>
      <c r="R41" s="36"/>
      <c r="S41" s="36"/>
      <c r="T41" s="36">
        <f t="shared" si="54"/>
        <v>0</v>
      </c>
      <c r="U41" s="9"/>
      <c r="V41" s="7"/>
      <c r="W41" s="39"/>
      <c r="X41" s="40"/>
      <c r="Y41" s="40"/>
      <c r="Z41" s="41"/>
      <c r="AA41" s="41"/>
      <c r="AB41" s="41"/>
      <c r="AC41" s="12"/>
      <c r="AD41" s="12"/>
      <c r="AE41" s="38"/>
      <c r="AF41" s="38"/>
      <c r="AG41" s="38"/>
      <c r="AH41" s="12"/>
      <c r="AI41" s="12"/>
      <c r="AJ41" s="36">
        <f t="shared" si="57"/>
        <v>0</v>
      </c>
      <c r="AK41" s="36">
        <f t="shared" si="58"/>
        <v>0</v>
      </c>
      <c r="AL41" s="36">
        <f t="shared" si="59"/>
        <v>0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s="5" customFormat="1" ht="22.5" x14ac:dyDescent="0.25">
      <c r="A42" s="34" t="s">
        <v>41</v>
      </c>
      <c r="B42" s="35"/>
      <c r="C42" s="18">
        <v>489000</v>
      </c>
      <c r="D42" s="36"/>
      <c r="E42" s="36">
        <f t="shared" si="52"/>
        <v>489000</v>
      </c>
      <c r="F42" s="36"/>
      <c r="G42" s="36"/>
      <c r="H42" s="36"/>
      <c r="I42" s="36"/>
      <c r="J42" s="36"/>
      <c r="K42" s="36"/>
      <c r="L42" s="10">
        <f t="shared" si="55"/>
        <v>489000</v>
      </c>
      <c r="M42" s="10">
        <f t="shared" si="56"/>
        <v>0</v>
      </c>
      <c r="N42" s="36"/>
      <c r="O42" s="36"/>
      <c r="P42" s="36">
        <f t="shared" si="53"/>
        <v>0</v>
      </c>
      <c r="Q42" s="37"/>
      <c r="R42" s="36"/>
      <c r="S42" s="36"/>
      <c r="T42" s="36">
        <f t="shared" si="54"/>
        <v>0</v>
      </c>
      <c r="U42" s="9"/>
      <c r="V42" s="7"/>
      <c r="W42" s="39"/>
      <c r="X42" s="40"/>
      <c r="Y42" s="40"/>
      <c r="Z42" s="41"/>
      <c r="AA42" s="41"/>
      <c r="AB42" s="41"/>
      <c r="AC42" s="12"/>
      <c r="AD42" s="12"/>
      <c r="AE42" s="38"/>
      <c r="AF42" s="38"/>
      <c r="AG42" s="38"/>
      <c r="AH42" s="12"/>
      <c r="AI42" s="12"/>
      <c r="AJ42" s="36">
        <f t="shared" si="57"/>
        <v>0</v>
      </c>
      <c r="AK42" s="36">
        <f t="shared" si="58"/>
        <v>0</v>
      </c>
      <c r="AL42" s="36">
        <f t="shared" si="59"/>
        <v>0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5" customFormat="1" x14ac:dyDescent="0.25">
      <c r="A43" s="34" t="s">
        <v>42</v>
      </c>
      <c r="B43" s="35"/>
      <c r="C43" s="18">
        <v>635700</v>
      </c>
      <c r="D43" s="36"/>
      <c r="E43" s="36">
        <f t="shared" si="52"/>
        <v>635700</v>
      </c>
      <c r="F43" s="36"/>
      <c r="G43" s="36"/>
      <c r="H43" s="36"/>
      <c r="I43" s="36"/>
      <c r="J43" s="36"/>
      <c r="K43" s="36"/>
      <c r="L43" s="10">
        <f t="shared" si="55"/>
        <v>635700</v>
      </c>
      <c r="M43" s="10">
        <f t="shared" si="56"/>
        <v>0</v>
      </c>
      <c r="N43" s="36"/>
      <c r="O43" s="36"/>
      <c r="P43" s="36">
        <f t="shared" si="53"/>
        <v>0</v>
      </c>
      <c r="Q43" s="37"/>
      <c r="R43" s="36"/>
      <c r="S43" s="36"/>
      <c r="T43" s="36">
        <f t="shared" si="54"/>
        <v>0</v>
      </c>
      <c r="U43" s="9"/>
      <c r="V43" s="7"/>
      <c r="W43" s="39"/>
      <c r="X43" s="40"/>
      <c r="Y43" s="40"/>
      <c r="Z43" s="41"/>
      <c r="AA43" s="41"/>
      <c r="AB43" s="41"/>
      <c r="AC43" s="12"/>
      <c r="AD43" s="12"/>
      <c r="AE43" s="38"/>
      <c r="AF43" s="38"/>
      <c r="AG43" s="38"/>
      <c r="AH43" s="12"/>
      <c r="AI43" s="12"/>
      <c r="AJ43" s="36">
        <f t="shared" si="57"/>
        <v>0</v>
      </c>
      <c r="AK43" s="36">
        <f t="shared" si="58"/>
        <v>0</v>
      </c>
      <c r="AL43" s="36">
        <f t="shared" si="59"/>
        <v>0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5" customFormat="1" x14ac:dyDescent="0.25">
      <c r="A44" s="34" t="s">
        <v>43</v>
      </c>
      <c r="B44" s="35">
        <v>244500</v>
      </c>
      <c r="C44" s="18">
        <v>244500</v>
      </c>
      <c r="D44" s="36"/>
      <c r="E44" s="36">
        <f t="shared" si="52"/>
        <v>244500</v>
      </c>
      <c r="F44" s="36"/>
      <c r="G44" s="36"/>
      <c r="H44" s="36"/>
      <c r="I44" s="36"/>
      <c r="J44" s="36"/>
      <c r="K44" s="36"/>
      <c r="L44" s="10">
        <f t="shared" si="55"/>
        <v>244500</v>
      </c>
      <c r="M44" s="10">
        <f t="shared" si="56"/>
        <v>0</v>
      </c>
      <c r="N44" s="36"/>
      <c r="O44" s="36"/>
      <c r="P44" s="36">
        <f t="shared" si="53"/>
        <v>0</v>
      </c>
      <c r="Q44" s="37"/>
      <c r="R44" s="36"/>
      <c r="S44" s="36"/>
      <c r="T44" s="36">
        <f t="shared" si="54"/>
        <v>0</v>
      </c>
      <c r="U44" s="9"/>
      <c r="V44" s="7"/>
      <c r="W44" s="39"/>
      <c r="X44" s="40"/>
      <c r="Y44" s="40"/>
      <c r="Z44" s="41"/>
      <c r="AA44" s="41"/>
      <c r="AB44" s="41"/>
      <c r="AC44" s="12"/>
      <c r="AD44" s="12"/>
      <c r="AE44" s="38"/>
      <c r="AF44" s="38"/>
      <c r="AG44" s="38"/>
      <c r="AH44" s="12"/>
      <c r="AI44" s="12"/>
      <c r="AJ44" s="36">
        <f t="shared" si="57"/>
        <v>0</v>
      </c>
      <c r="AK44" s="36">
        <f t="shared" si="58"/>
        <v>0</v>
      </c>
      <c r="AL44" s="36">
        <f t="shared" si="59"/>
        <v>0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x14ac:dyDescent="0.25">
      <c r="A45" s="29" t="s">
        <v>31</v>
      </c>
      <c r="B45" s="9"/>
      <c r="C45" s="30">
        <f>SUM(C33:C44)</f>
        <v>97800000</v>
      </c>
      <c r="D45" s="30">
        <f t="shared" ref="D45:E45" si="60">SUM(D33:D44)</f>
        <v>0</v>
      </c>
      <c r="E45" s="30">
        <f t="shared" si="60"/>
        <v>97800000</v>
      </c>
      <c r="F45" s="30"/>
      <c r="G45" s="30"/>
      <c r="H45" s="30"/>
      <c r="I45" s="30">
        <f>SUM(I33:I44)</f>
        <v>92978460</v>
      </c>
      <c r="J45" s="30">
        <f t="shared" ref="J45:K45" si="61">SUM(J33:J44)</f>
        <v>0</v>
      </c>
      <c r="K45" s="30">
        <f t="shared" si="61"/>
        <v>92978460</v>
      </c>
      <c r="L45" s="10">
        <f t="shared" si="55"/>
        <v>4821540</v>
      </c>
      <c r="M45" s="10">
        <f t="shared" si="56"/>
        <v>0</v>
      </c>
      <c r="N45" s="30">
        <f>SUM(N33:N44)</f>
        <v>92978460</v>
      </c>
      <c r="O45" s="30">
        <f t="shared" ref="O45:P45" si="62">SUM(O33:O44)</f>
        <v>0</v>
      </c>
      <c r="P45" s="30">
        <f t="shared" si="62"/>
        <v>92978460</v>
      </c>
      <c r="Q45" s="10"/>
      <c r="R45" s="30">
        <f>SUM(R33:R44)</f>
        <v>22959270.73</v>
      </c>
      <c r="S45" s="30">
        <f t="shared" ref="S45:T45" si="63">SUM(S33:S44)</f>
        <v>0</v>
      </c>
      <c r="T45" s="30">
        <f t="shared" si="63"/>
        <v>22959270.73</v>
      </c>
      <c r="U45" s="9"/>
      <c r="Z45" s="32">
        <f>+N45/I45</f>
        <v>1</v>
      </c>
      <c r="AA45" s="42"/>
      <c r="AB45" s="32">
        <f t="shared" ref="AB45:AB54" si="64">+P45/K45</f>
        <v>1</v>
      </c>
      <c r="AC45" s="12"/>
      <c r="AD45" s="12"/>
      <c r="AE45" s="31">
        <f>+R45/I45</f>
        <v>0.24693107123951075</v>
      </c>
      <c r="AF45" s="31"/>
      <c r="AG45" s="31">
        <f t="shared" ref="AG45:AG50" si="65">+T45/K45</f>
        <v>0.24693107123951075</v>
      </c>
      <c r="AH45" s="12"/>
      <c r="AI45" s="12"/>
      <c r="AJ45" s="30">
        <f t="shared" si="57"/>
        <v>0</v>
      </c>
      <c r="AK45" s="30">
        <f t="shared" si="58"/>
        <v>0</v>
      </c>
      <c r="AL45" s="30">
        <f t="shared" si="59"/>
        <v>0</v>
      </c>
      <c r="AO45" s="39"/>
      <c r="AP45" s="39"/>
      <c r="AQ45" s="39"/>
      <c r="AR45" s="39"/>
      <c r="AS45" s="39"/>
      <c r="AT45" s="39"/>
      <c r="AU45" s="39"/>
    </row>
    <row r="46" spans="1:48" ht="26.25" customHeight="1" x14ac:dyDescent="0.25">
      <c r="A46" s="4" t="s">
        <v>102</v>
      </c>
      <c r="B46" s="9"/>
      <c r="C46" s="18">
        <v>1537172</v>
      </c>
      <c r="D46" s="18">
        <v>1537172</v>
      </c>
      <c r="E46" s="18">
        <f t="shared" ref="E46:E47" si="66">+D46+C46</f>
        <v>3074344</v>
      </c>
      <c r="F46" s="18"/>
      <c r="G46" s="18"/>
      <c r="H46" s="18"/>
      <c r="I46" s="18">
        <v>1600000</v>
      </c>
      <c r="J46" s="18">
        <f>466590+537172+200000+333410</f>
        <v>1537172</v>
      </c>
      <c r="K46" s="18">
        <f t="shared" si="36"/>
        <v>3137172</v>
      </c>
      <c r="L46" s="10">
        <f t="shared" si="55"/>
        <v>-62828</v>
      </c>
      <c r="M46" s="10">
        <f t="shared" si="56"/>
        <v>0</v>
      </c>
      <c r="N46" s="18">
        <f>802142.97+732224.88</f>
        <v>1534367.85</v>
      </c>
      <c r="O46" s="18">
        <f>34800+215124+501956+81200+30000+130650-10.13+150000+34800+215124+143528.13</f>
        <v>1537172</v>
      </c>
      <c r="P46" s="18">
        <f t="shared" ref="P46:P47" si="67">+O46+N46</f>
        <v>3071539.85</v>
      </c>
      <c r="Q46" s="10"/>
      <c r="R46" s="18">
        <v>1222825.6600000006</v>
      </c>
      <c r="S46" s="18">
        <v>696453.87</v>
      </c>
      <c r="T46" s="18">
        <f t="shared" ref="T46:T47" si="68">+S46+R46</f>
        <v>1919279.5300000007</v>
      </c>
      <c r="U46" s="9"/>
      <c r="Z46" s="20">
        <f>+N46/I46</f>
        <v>0.95897990625000007</v>
      </c>
      <c r="AA46" s="20">
        <f>+O46/J46</f>
        <v>1</v>
      </c>
      <c r="AB46" s="20">
        <f t="shared" si="64"/>
        <v>0.97907919935534304</v>
      </c>
      <c r="AC46" s="12"/>
      <c r="AD46" s="12"/>
      <c r="AE46" s="19">
        <f>+R46/I46</f>
        <v>0.76426603750000044</v>
      </c>
      <c r="AF46" s="19">
        <f>+S46/J46</f>
        <v>0.45307478278292862</v>
      </c>
      <c r="AG46" s="19">
        <f t="shared" si="65"/>
        <v>0.61178651664620265</v>
      </c>
      <c r="AH46" s="12"/>
      <c r="AI46" s="12"/>
      <c r="AJ46" s="18">
        <f t="shared" si="57"/>
        <v>65632.149999999907</v>
      </c>
      <c r="AK46" s="18">
        <f t="shared" si="58"/>
        <v>0</v>
      </c>
      <c r="AL46" s="18">
        <f t="shared" si="59"/>
        <v>65632.149999999907</v>
      </c>
    </row>
    <row r="47" spans="1:48" x14ac:dyDescent="0.25">
      <c r="A47" s="22" t="s">
        <v>8</v>
      </c>
      <c r="B47" s="9"/>
      <c r="C47" s="18">
        <v>62828</v>
      </c>
      <c r="D47" s="18">
        <v>62828</v>
      </c>
      <c r="E47" s="18">
        <f t="shared" si="66"/>
        <v>125656</v>
      </c>
      <c r="F47" s="18"/>
      <c r="G47" s="18"/>
      <c r="H47" s="18"/>
      <c r="I47" s="18"/>
      <c r="J47" s="18">
        <v>62828</v>
      </c>
      <c r="K47" s="18">
        <f t="shared" si="36"/>
        <v>62828</v>
      </c>
      <c r="L47" s="10">
        <f t="shared" si="55"/>
        <v>62828</v>
      </c>
      <c r="M47" s="10">
        <f t="shared" si="56"/>
        <v>0</v>
      </c>
      <c r="N47" s="18"/>
      <c r="O47" s="18">
        <v>62828</v>
      </c>
      <c r="P47" s="18">
        <f t="shared" si="67"/>
        <v>62828</v>
      </c>
      <c r="Q47" s="10"/>
      <c r="R47" s="18">
        <f>+AR19</f>
        <v>0</v>
      </c>
      <c r="S47" s="18">
        <f>+AU19</f>
        <v>49923.65</v>
      </c>
      <c r="T47" s="18">
        <f t="shared" si="68"/>
        <v>49923.65</v>
      </c>
      <c r="U47" s="9"/>
      <c r="Z47" s="20"/>
      <c r="AA47" s="20">
        <f>+O47/J47</f>
        <v>1</v>
      </c>
      <c r="AB47" s="20">
        <f t="shared" si="64"/>
        <v>1</v>
      </c>
      <c r="AC47" s="12"/>
      <c r="AD47" s="12"/>
      <c r="AE47" s="19"/>
      <c r="AF47" s="19">
        <f>+S47/J47</f>
        <v>0.79460829566435354</v>
      </c>
      <c r="AG47" s="19">
        <f t="shared" si="65"/>
        <v>0.79460829566435354</v>
      </c>
      <c r="AH47" s="12"/>
      <c r="AI47" s="12"/>
      <c r="AJ47" s="18">
        <f t="shared" si="57"/>
        <v>0</v>
      </c>
      <c r="AK47" s="18">
        <f t="shared" si="58"/>
        <v>0</v>
      </c>
      <c r="AL47" s="18">
        <f t="shared" si="59"/>
        <v>0</v>
      </c>
    </row>
    <row r="48" spans="1:48" x14ac:dyDescent="0.25">
      <c r="A48" s="29" t="s">
        <v>58</v>
      </c>
      <c r="B48" s="9"/>
      <c r="C48" s="30">
        <f>SUM(C46:C47)</f>
        <v>1600000</v>
      </c>
      <c r="D48" s="30">
        <f t="shared" ref="D48:E48" si="69">SUM(D46:D47)</f>
        <v>1600000</v>
      </c>
      <c r="E48" s="30">
        <f t="shared" si="69"/>
        <v>3200000</v>
      </c>
      <c r="F48" s="30"/>
      <c r="G48" s="30"/>
      <c r="H48" s="30"/>
      <c r="I48" s="30">
        <f>SUM(I46:I47)</f>
        <v>1600000</v>
      </c>
      <c r="J48" s="30">
        <f t="shared" ref="J48:K48" si="70">SUM(J46:J47)</f>
        <v>1600000</v>
      </c>
      <c r="K48" s="30">
        <f t="shared" si="70"/>
        <v>3200000</v>
      </c>
      <c r="L48" s="10">
        <f t="shared" si="55"/>
        <v>0</v>
      </c>
      <c r="M48" s="10">
        <f t="shared" si="56"/>
        <v>0</v>
      </c>
      <c r="N48" s="30">
        <f>SUM(N46:N47)</f>
        <v>1534367.85</v>
      </c>
      <c r="O48" s="30">
        <f t="shared" ref="O48:P48" si="71">SUM(O46:O47)</f>
        <v>1600000</v>
      </c>
      <c r="P48" s="30">
        <f t="shared" si="71"/>
        <v>3134367.85</v>
      </c>
      <c r="Q48" s="10"/>
      <c r="R48" s="30">
        <f>SUM(R46:R47)</f>
        <v>1222825.6600000006</v>
      </c>
      <c r="S48" s="30">
        <f t="shared" ref="S48:T48" si="72">SUM(S46:S47)</f>
        <v>746377.52</v>
      </c>
      <c r="T48" s="30">
        <f t="shared" si="72"/>
        <v>1969203.1800000006</v>
      </c>
      <c r="U48" s="9"/>
      <c r="Z48" s="32">
        <f t="shared" ref="Z48:Z54" si="73">+N48/I48</f>
        <v>0.95897990625000007</v>
      </c>
      <c r="AA48" s="32">
        <f>+O48/J48</f>
        <v>1</v>
      </c>
      <c r="AB48" s="32">
        <f t="shared" si="64"/>
        <v>0.97948995312499998</v>
      </c>
      <c r="AC48" s="12"/>
      <c r="AD48" s="12"/>
      <c r="AE48" s="31">
        <f t="shared" ref="AE48:AE54" si="74">+R48/I48</f>
        <v>0.76426603750000044</v>
      </c>
      <c r="AF48" s="31">
        <f>+S48/J48</f>
        <v>0.46648595000000004</v>
      </c>
      <c r="AG48" s="31">
        <f t="shared" si="65"/>
        <v>0.61537599375000018</v>
      </c>
      <c r="AH48" s="12"/>
      <c r="AI48" s="12"/>
      <c r="AJ48" s="30">
        <f t="shared" si="57"/>
        <v>65632.149999999907</v>
      </c>
      <c r="AK48" s="30">
        <f t="shared" si="58"/>
        <v>0</v>
      </c>
      <c r="AL48" s="30">
        <f t="shared" si="59"/>
        <v>65632.149999999907</v>
      </c>
    </row>
    <row r="49" spans="1:53" x14ac:dyDescent="0.25">
      <c r="A49" s="4" t="s">
        <v>73</v>
      </c>
      <c r="B49" s="9"/>
      <c r="C49" s="18">
        <v>53833620</v>
      </c>
      <c r="D49" s="18">
        <v>10070000</v>
      </c>
      <c r="E49" s="18">
        <f t="shared" ref="E49:E51" si="75">+D49+C49</f>
        <v>63903620</v>
      </c>
      <c r="F49" s="18"/>
      <c r="G49" s="18"/>
      <c r="H49" s="18"/>
      <c r="I49" s="18">
        <f>9600200.38+804070.93+22088768.5+17257844.47+4082735.71</f>
        <v>53833619.990000002</v>
      </c>
      <c r="J49" s="18">
        <f>2800000+900000+815000+2020000-315000</f>
        <v>6220000</v>
      </c>
      <c r="K49" s="18">
        <f t="shared" si="36"/>
        <v>60053619.990000002</v>
      </c>
      <c r="L49" s="10">
        <f t="shared" si="55"/>
        <v>9.9999979138374329E-3</v>
      </c>
      <c r="M49" s="10">
        <f t="shared" si="56"/>
        <v>3850000</v>
      </c>
      <c r="N49" s="18">
        <f>32493039.81+4989483.37+417897.37+11850463.73+1175957.24+103281.7+2803496.77</f>
        <v>53833619.99000001</v>
      </c>
      <c r="O49" s="18">
        <f>800000+2000000+300000+600000+500000+1070000+450000</f>
        <v>5720000</v>
      </c>
      <c r="P49" s="18">
        <f t="shared" ref="P49:P51" si="76">+O49+N49</f>
        <v>59553619.99000001</v>
      </c>
      <c r="Q49" s="10"/>
      <c r="R49" s="18">
        <v>53833619.999999993</v>
      </c>
      <c r="S49" s="18">
        <v>5270000</v>
      </c>
      <c r="T49" s="18">
        <f t="shared" ref="T49:T51" si="77">+S49+R49</f>
        <v>59103619.999999993</v>
      </c>
      <c r="U49" s="9"/>
      <c r="Z49" s="20">
        <f t="shared" si="73"/>
        <v>1.0000000000000002</v>
      </c>
      <c r="AA49" s="20">
        <f>+O49/J49</f>
        <v>0.91961414790996787</v>
      </c>
      <c r="AB49" s="20">
        <f t="shared" si="64"/>
        <v>0.99167410723811067</v>
      </c>
      <c r="AC49" s="12"/>
      <c r="AD49" s="12"/>
      <c r="AE49" s="19">
        <f t="shared" si="74"/>
        <v>1.0000000001857574</v>
      </c>
      <c r="AF49" s="19">
        <f>+S49/J49</f>
        <v>0.84726688102893888</v>
      </c>
      <c r="AG49" s="19">
        <f t="shared" si="65"/>
        <v>0.98418080391892782</v>
      </c>
      <c r="AH49" s="12"/>
      <c r="AI49" s="12"/>
      <c r="AJ49" s="18">
        <f t="shared" si="57"/>
        <v>0</v>
      </c>
      <c r="AK49" s="18">
        <f t="shared" si="58"/>
        <v>500000</v>
      </c>
      <c r="AL49" s="18">
        <f t="shared" si="59"/>
        <v>499999.99999999255</v>
      </c>
    </row>
    <row r="50" spans="1:53" ht="21.75" customHeight="1" x14ac:dyDescent="0.25">
      <c r="A50" s="22" t="s">
        <v>87</v>
      </c>
      <c r="B50" s="9"/>
      <c r="C50" s="18">
        <v>2691681</v>
      </c>
      <c r="D50" s="18">
        <v>503500</v>
      </c>
      <c r="E50" s="18">
        <f t="shared" si="75"/>
        <v>3195181</v>
      </c>
      <c r="F50" s="18"/>
      <c r="G50" s="18"/>
      <c r="H50" s="18"/>
      <c r="I50" s="18">
        <f>665836.88+396668.78</f>
        <v>1062505.6600000001</v>
      </c>
      <c r="J50" s="18">
        <f>221371.81+80792.68</f>
        <v>302164.49</v>
      </c>
      <c r="K50" s="18">
        <f t="shared" si="36"/>
        <v>1364670.1500000001</v>
      </c>
      <c r="L50" s="10">
        <f t="shared" si="55"/>
        <v>1629175.3399999999</v>
      </c>
      <c r="M50" s="10">
        <f t="shared" si="56"/>
        <v>201335.51</v>
      </c>
      <c r="N50" s="18">
        <f>665836.88+396668.78</f>
        <v>1062505.6600000001</v>
      </c>
      <c r="O50" s="18">
        <v>221371.81</v>
      </c>
      <c r="P50" s="18">
        <f t="shared" si="76"/>
        <v>1283877.4700000002</v>
      </c>
      <c r="Q50" s="10"/>
      <c r="R50" s="18">
        <f>+AR20</f>
        <v>262396.19</v>
      </c>
      <c r="S50" s="18">
        <f>+AU20</f>
        <v>80619.539999999994</v>
      </c>
      <c r="T50" s="18">
        <f t="shared" si="77"/>
        <v>343015.73</v>
      </c>
      <c r="U50" s="9"/>
      <c r="Z50" s="20">
        <f t="shared" si="73"/>
        <v>1</v>
      </c>
      <c r="AA50" s="20">
        <f>+O50/J50</f>
        <v>0.73262020298943797</v>
      </c>
      <c r="AB50" s="20">
        <f t="shared" si="64"/>
        <v>0.94079691711583202</v>
      </c>
      <c r="AC50" s="12"/>
      <c r="AD50" s="12"/>
      <c r="AE50" s="19">
        <f t="shared" si="74"/>
        <v>0.24695980443059473</v>
      </c>
      <c r="AF50" s="19"/>
      <c r="AG50" s="19">
        <f t="shared" si="65"/>
        <v>0.25135431444734097</v>
      </c>
      <c r="AH50" s="12"/>
      <c r="AI50" s="12"/>
      <c r="AJ50" s="18">
        <f t="shared" si="57"/>
        <v>0</v>
      </c>
      <c r="AK50" s="18">
        <f t="shared" si="58"/>
        <v>80792.679999999993</v>
      </c>
      <c r="AL50" s="18">
        <f t="shared" si="59"/>
        <v>80792.679999999935</v>
      </c>
      <c r="AY50" s="3">
        <f>+D50+D54+D58</f>
        <v>1558000</v>
      </c>
      <c r="AZ50" s="3">
        <f>+D50/AY50</f>
        <v>0.32317073170731708</v>
      </c>
      <c r="BA50" s="3">
        <f>+D58/AY50</f>
        <v>0.67682926829268297</v>
      </c>
    </row>
    <row r="51" spans="1:53" x14ac:dyDescent="0.25">
      <c r="A51" s="22" t="s">
        <v>88</v>
      </c>
      <c r="B51" s="9"/>
      <c r="C51" s="18">
        <v>141667.42000000001</v>
      </c>
      <c r="D51" s="18">
        <v>26500</v>
      </c>
      <c r="E51" s="18">
        <f t="shared" si="75"/>
        <v>168167.42</v>
      </c>
      <c r="F51" s="18"/>
      <c r="G51" s="18"/>
      <c r="H51" s="18"/>
      <c r="I51" s="18">
        <v>164000</v>
      </c>
      <c r="J51" s="18"/>
      <c r="K51" s="18">
        <f t="shared" si="36"/>
        <v>164000</v>
      </c>
      <c r="L51" s="10">
        <f t="shared" si="55"/>
        <v>-22332.579999999987</v>
      </c>
      <c r="M51" s="10">
        <f t="shared" si="56"/>
        <v>26500</v>
      </c>
      <c r="N51" s="18">
        <v>164000</v>
      </c>
      <c r="O51" s="18"/>
      <c r="P51" s="18">
        <f t="shared" si="76"/>
        <v>164000</v>
      </c>
      <c r="Q51" s="10"/>
      <c r="R51" s="18"/>
      <c r="S51" s="18"/>
      <c r="T51" s="18">
        <f t="shared" si="77"/>
        <v>0</v>
      </c>
      <c r="U51" s="9"/>
      <c r="Z51" s="20">
        <f t="shared" si="73"/>
        <v>1</v>
      </c>
      <c r="AA51" s="20"/>
      <c r="AB51" s="20">
        <f t="shared" si="64"/>
        <v>1</v>
      </c>
      <c r="AC51" s="12"/>
      <c r="AD51" s="12"/>
      <c r="AE51" s="19">
        <f t="shared" si="74"/>
        <v>0</v>
      </c>
      <c r="AF51" s="19"/>
      <c r="AG51" s="19"/>
      <c r="AH51" s="12"/>
      <c r="AI51" s="12"/>
      <c r="AJ51" s="18">
        <f t="shared" si="57"/>
        <v>0</v>
      </c>
      <c r="AK51" s="18">
        <f t="shared" si="58"/>
        <v>0</v>
      </c>
      <c r="AL51" s="18">
        <f t="shared" si="59"/>
        <v>0</v>
      </c>
    </row>
    <row r="52" spans="1:53" s="2" customFormat="1" x14ac:dyDescent="0.25">
      <c r="A52" s="23" t="s">
        <v>21</v>
      </c>
      <c r="B52" s="24"/>
      <c r="C52" s="25">
        <f>SUM(C49:C51)</f>
        <v>56666968.420000002</v>
      </c>
      <c r="D52" s="25">
        <f t="shared" ref="D52:K52" si="78">SUM(D49:D51)</f>
        <v>10600000</v>
      </c>
      <c r="E52" s="25">
        <f t="shared" si="78"/>
        <v>67266968.420000002</v>
      </c>
      <c r="F52" s="25"/>
      <c r="G52" s="25"/>
      <c r="H52" s="25"/>
      <c r="I52" s="25">
        <f t="shared" si="78"/>
        <v>55060125.650000006</v>
      </c>
      <c r="J52" s="25">
        <f t="shared" si="78"/>
        <v>6522164.4900000002</v>
      </c>
      <c r="K52" s="25">
        <f t="shared" si="78"/>
        <v>61582290.140000001</v>
      </c>
      <c r="L52" s="10">
        <f t="shared" si="55"/>
        <v>1606842.7699999958</v>
      </c>
      <c r="M52" s="10">
        <f t="shared" si="56"/>
        <v>4077835.51</v>
      </c>
      <c r="N52" s="25">
        <f t="shared" ref="N52:T52" si="79">SUM(N49:N51)</f>
        <v>55060125.650000006</v>
      </c>
      <c r="O52" s="25">
        <f t="shared" si="79"/>
        <v>5941371.8099999996</v>
      </c>
      <c r="P52" s="25">
        <f t="shared" si="79"/>
        <v>61001497.460000008</v>
      </c>
      <c r="Q52" s="25">
        <f t="shared" si="79"/>
        <v>0</v>
      </c>
      <c r="R52" s="25">
        <f t="shared" si="79"/>
        <v>54096016.18999999</v>
      </c>
      <c r="S52" s="25">
        <f t="shared" si="79"/>
        <v>5350619.54</v>
      </c>
      <c r="T52" s="25">
        <f t="shared" si="79"/>
        <v>59446635.729999989</v>
      </c>
      <c r="U52" s="9"/>
      <c r="V52" s="7"/>
      <c r="W52" s="43"/>
      <c r="X52" s="44"/>
      <c r="Y52" s="44"/>
      <c r="Z52" s="27">
        <f t="shared" si="73"/>
        <v>1</v>
      </c>
      <c r="AA52" s="27">
        <f>+O52/J52</f>
        <v>0.91095093034061136</v>
      </c>
      <c r="AB52" s="27">
        <f t="shared" si="64"/>
        <v>0.99056883596437173</v>
      </c>
      <c r="AC52" s="12"/>
      <c r="AD52" s="12"/>
      <c r="AE52" s="26">
        <f t="shared" si="74"/>
        <v>0.98248987904371021</v>
      </c>
      <c r="AF52" s="26">
        <f>+S52/J52</f>
        <v>0.82037482314402654</v>
      </c>
      <c r="AG52" s="26">
        <f>+T52/K52</f>
        <v>0.9653203152213915</v>
      </c>
      <c r="AH52" s="12"/>
      <c r="AI52" s="12"/>
      <c r="AJ52" s="25">
        <f t="shared" si="57"/>
        <v>0</v>
      </c>
      <c r="AK52" s="25">
        <f t="shared" si="58"/>
        <v>580792.68000000063</v>
      </c>
      <c r="AL52" s="25">
        <f t="shared" si="59"/>
        <v>580792.67999999225</v>
      </c>
      <c r="AM52" s="7"/>
      <c r="AN52" s="43"/>
      <c r="AO52" s="7"/>
      <c r="AP52" s="7"/>
      <c r="AQ52" s="7"/>
      <c r="AR52" s="7"/>
      <c r="AS52" s="7"/>
      <c r="AT52" s="7"/>
      <c r="AU52" s="7"/>
      <c r="AV52" s="43"/>
    </row>
    <row r="53" spans="1:53" x14ac:dyDescent="0.25">
      <c r="A53" s="4" t="s">
        <v>75</v>
      </c>
      <c r="B53" s="9"/>
      <c r="C53" s="18">
        <v>4440000</v>
      </c>
      <c r="D53" s="18">
        <v>0</v>
      </c>
      <c r="E53" s="18">
        <f t="shared" ref="E53:E55" si="80">+D53+C53</f>
        <v>4440000</v>
      </c>
      <c r="F53" s="18"/>
      <c r="G53" s="18"/>
      <c r="H53" s="18"/>
      <c r="I53" s="18">
        <f>730513.44+572235.53+1400150.75+1404769.98+332330.3</f>
        <v>4440000</v>
      </c>
      <c r="J53" s="18"/>
      <c r="K53" s="18">
        <f t="shared" si="36"/>
        <v>4440000</v>
      </c>
      <c r="L53" s="10">
        <f t="shared" si="55"/>
        <v>0</v>
      </c>
      <c r="M53" s="10">
        <f t="shared" si="56"/>
        <v>0</v>
      </c>
      <c r="N53" s="18">
        <f>2702899.72+379667.56+297406.26+727696.16+89819+70358.21+172153.09</f>
        <v>4440000</v>
      </c>
      <c r="O53" s="18"/>
      <c r="P53" s="18">
        <f t="shared" ref="P53:P55" si="81">+O53+N53</f>
        <v>4440000</v>
      </c>
      <c r="Q53" s="10"/>
      <c r="R53" s="18">
        <v>4440000</v>
      </c>
      <c r="S53" s="18"/>
      <c r="T53" s="18">
        <f t="shared" ref="T53:T55" si="82">+S53+R53</f>
        <v>4440000</v>
      </c>
      <c r="U53" s="9"/>
      <c r="Z53" s="20">
        <f t="shared" si="73"/>
        <v>1</v>
      </c>
      <c r="AA53" s="20"/>
      <c r="AB53" s="20">
        <f t="shared" si="64"/>
        <v>1</v>
      </c>
      <c r="AC53" s="12"/>
      <c r="AD53" s="12"/>
      <c r="AE53" s="19">
        <f t="shared" si="74"/>
        <v>1</v>
      </c>
      <c r="AF53" s="19"/>
      <c r="AG53" s="19">
        <f>+T53/K53</f>
        <v>1</v>
      </c>
      <c r="AH53" s="12"/>
      <c r="AI53" s="12"/>
      <c r="AJ53" s="18">
        <f t="shared" si="57"/>
        <v>0</v>
      </c>
      <c r="AK53" s="18">
        <f t="shared" si="58"/>
        <v>0</v>
      </c>
      <c r="AL53" s="18">
        <f t="shared" si="59"/>
        <v>0</v>
      </c>
      <c r="AO53" s="43"/>
      <c r="AQ53" s="43"/>
      <c r="AR53" s="43"/>
      <c r="AS53" s="43"/>
      <c r="AT53" s="43"/>
      <c r="AU53" s="43"/>
    </row>
    <row r="54" spans="1:53" ht="15" customHeight="1" x14ac:dyDescent="0.25">
      <c r="A54" s="22" t="s">
        <v>87</v>
      </c>
      <c r="B54" s="9"/>
      <c r="C54" s="18">
        <v>222000</v>
      </c>
      <c r="D54" s="18"/>
      <c r="E54" s="18">
        <f t="shared" si="80"/>
        <v>222000</v>
      </c>
      <c r="F54" s="18"/>
      <c r="G54" s="18"/>
      <c r="H54" s="18"/>
      <c r="I54" s="18">
        <f>54915.79+32715.79</f>
        <v>87631.58</v>
      </c>
      <c r="J54" s="18"/>
      <c r="K54" s="18">
        <f t="shared" si="36"/>
        <v>87631.58</v>
      </c>
      <c r="L54" s="10">
        <f t="shared" si="55"/>
        <v>134368.41999999998</v>
      </c>
      <c r="M54" s="10">
        <f t="shared" si="56"/>
        <v>0</v>
      </c>
      <c r="N54" s="18">
        <f>54915.79+32715.79</f>
        <v>87631.58</v>
      </c>
      <c r="O54" s="18"/>
      <c r="P54" s="18">
        <f t="shared" si="81"/>
        <v>87631.58</v>
      </c>
      <c r="Q54" s="10"/>
      <c r="R54" s="18">
        <f>+AR21</f>
        <v>0</v>
      </c>
      <c r="S54" s="18"/>
      <c r="T54" s="18">
        <f t="shared" si="82"/>
        <v>0</v>
      </c>
      <c r="U54" s="9"/>
      <c r="Z54" s="20">
        <f t="shared" si="73"/>
        <v>1</v>
      </c>
      <c r="AA54" s="20"/>
      <c r="AB54" s="20">
        <f t="shared" si="64"/>
        <v>1</v>
      </c>
      <c r="AC54" s="12"/>
      <c r="AD54" s="12"/>
      <c r="AE54" s="19">
        <f t="shared" si="74"/>
        <v>0</v>
      </c>
      <c r="AF54" s="19"/>
      <c r="AG54" s="19">
        <f>+T54/K54</f>
        <v>0</v>
      </c>
      <c r="AH54" s="12"/>
      <c r="AI54" s="12"/>
      <c r="AJ54" s="18">
        <f t="shared" si="57"/>
        <v>0</v>
      </c>
      <c r="AK54" s="18">
        <f t="shared" si="58"/>
        <v>0</v>
      </c>
      <c r="AL54" s="18">
        <f t="shared" si="59"/>
        <v>0</v>
      </c>
    </row>
    <row r="55" spans="1:53" x14ac:dyDescent="0.25">
      <c r="A55" s="22" t="s">
        <v>88</v>
      </c>
      <c r="B55" s="9"/>
      <c r="C55" s="18">
        <v>11684.21052631579</v>
      </c>
      <c r="D55" s="18"/>
      <c r="E55" s="18">
        <f t="shared" si="80"/>
        <v>11684.21052631579</v>
      </c>
      <c r="F55" s="18"/>
      <c r="G55" s="18"/>
      <c r="H55" s="18"/>
      <c r="I55" s="18"/>
      <c r="J55" s="18"/>
      <c r="K55" s="18">
        <f t="shared" si="36"/>
        <v>0</v>
      </c>
      <c r="L55" s="10">
        <f t="shared" si="55"/>
        <v>11684.21052631579</v>
      </c>
      <c r="M55" s="10">
        <f t="shared" si="56"/>
        <v>0</v>
      </c>
      <c r="N55" s="18"/>
      <c r="O55" s="18"/>
      <c r="P55" s="18">
        <f t="shared" si="81"/>
        <v>0</v>
      </c>
      <c r="Q55" s="10"/>
      <c r="R55" s="18"/>
      <c r="S55" s="18"/>
      <c r="T55" s="18">
        <f t="shared" si="82"/>
        <v>0</v>
      </c>
      <c r="U55" s="9"/>
      <c r="Z55" s="20"/>
      <c r="AA55" s="20"/>
      <c r="AB55" s="20"/>
      <c r="AC55" s="12"/>
      <c r="AD55" s="12"/>
      <c r="AE55" s="19"/>
      <c r="AF55" s="19"/>
      <c r="AG55" s="19"/>
      <c r="AH55" s="12"/>
      <c r="AI55" s="12"/>
      <c r="AJ55" s="18">
        <f t="shared" si="57"/>
        <v>0</v>
      </c>
      <c r="AK55" s="18">
        <f t="shared" si="58"/>
        <v>0</v>
      </c>
      <c r="AL55" s="18">
        <f t="shared" si="59"/>
        <v>0</v>
      </c>
    </row>
    <row r="56" spans="1:53" s="2" customFormat="1" x14ac:dyDescent="0.25">
      <c r="A56" s="23" t="s">
        <v>22</v>
      </c>
      <c r="B56" s="24"/>
      <c r="C56" s="25">
        <f t="shared" ref="C56:K56" si="83">SUM(C53:C55)</f>
        <v>4673684.2105263155</v>
      </c>
      <c r="D56" s="25">
        <f t="shared" si="83"/>
        <v>0</v>
      </c>
      <c r="E56" s="25">
        <f t="shared" si="83"/>
        <v>4673684.2105263155</v>
      </c>
      <c r="F56" s="25"/>
      <c r="G56" s="25"/>
      <c r="H56" s="25"/>
      <c r="I56" s="25">
        <f t="shared" si="83"/>
        <v>4527631.58</v>
      </c>
      <c r="J56" s="25">
        <f t="shared" si="83"/>
        <v>0</v>
      </c>
      <c r="K56" s="25">
        <f t="shared" si="83"/>
        <v>4527631.58</v>
      </c>
      <c r="L56" s="10">
        <f t="shared" si="55"/>
        <v>146052.63052631542</v>
      </c>
      <c r="M56" s="10">
        <f t="shared" si="56"/>
        <v>0</v>
      </c>
      <c r="N56" s="25">
        <f t="shared" ref="N56:T56" si="84">SUM(N53:N55)</f>
        <v>4527631.58</v>
      </c>
      <c r="O56" s="25">
        <f t="shared" si="84"/>
        <v>0</v>
      </c>
      <c r="P56" s="25">
        <f t="shared" si="84"/>
        <v>4527631.58</v>
      </c>
      <c r="Q56" s="25">
        <f t="shared" si="84"/>
        <v>0</v>
      </c>
      <c r="R56" s="25">
        <f t="shared" si="84"/>
        <v>4440000</v>
      </c>
      <c r="S56" s="25">
        <f t="shared" si="84"/>
        <v>0</v>
      </c>
      <c r="T56" s="25">
        <f t="shared" si="84"/>
        <v>4440000</v>
      </c>
      <c r="U56" s="9"/>
      <c r="V56" s="7"/>
      <c r="W56" s="43"/>
      <c r="X56" s="44"/>
      <c r="Y56" s="44"/>
      <c r="Z56" s="27">
        <f>+N56/I56</f>
        <v>1</v>
      </c>
      <c r="AA56" s="27"/>
      <c r="AB56" s="27">
        <f>+P56/K56</f>
        <v>1</v>
      </c>
      <c r="AC56" s="12"/>
      <c r="AD56" s="12"/>
      <c r="AE56" s="26">
        <f>+R56/I56</f>
        <v>0.98064516106233179</v>
      </c>
      <c r="AF56" s="26"/>
      <c r="AG56" s="26">
        <f>+T56/K56</f>
        <v>0.98064516106233179</v>
      </c>
      <c r="AH56" s="12"/>
      <c r="AI56" s="12"/>
      <c r="AJ56" s="25">
        <f t="shared" si="57"/>
        <v>0</v>
      </c>
      <c r="AK56" s="25">
        <f t="shared" si="58"/>
        <v>0</v>
      </c>
      <c r="AL56" s="25">
        <f t="shared" si="59"/>
        <v>0</v>
      </c>
      <c r="AM56" s="7"/>
      <c r="AN56" s="43"/>
      <c r="AO56" s="7"/>
      <c r="AP56" s="7"/>
      <c r="AQ56" s="7"/>
      <c r="AR56" s="7"/>
      <c r="AS56" s="7"/>
      <c r="AT56" s="7"/>
      <c r="AU56" s="7"/>
      <c r="AV56" s="43"/>
    </row>
    <row r="57" spans="1:53" x14ac:dyDescent="0.25">
      <c r="A57" s="4" t="s">
        <v>16</v>
      </c>
      <c r="B57" s="9"/>
      <c r="C57" s="18">
        <v>4046380</v>
      </c>
      <c r="D57" s="18">
        <v>21090000</v>
      </c>
      <c r="E57" s="18">
        <f t="shared" ref="E57:E59" si="85">+D57+C57</f>
        <v>25136380</v>
      </c>
      <c r="F57" s="18"/>
      <c r="G57" s="18"/>
      <c r="H57" s="18"/>
      <c r="I57" s="18">
        <f>2029503.07+712555.4+1054787.55+249533.99</f>
        <v>4046380.0100000007</v>
      </c>
      <c r="J57" s="18">
        <f>800000+3400000+1200000+2100000+1000000+2730000+315000</f>
        <v>11545000</v>
      </c>
      <c r="K57" s="18">
        <f t="shared" si="36"/>
        <v>15591380.010000002</v>
      </c>
      <c r="L57" s="10">
        <f t="shared" si="55"/>
        <v>-1.0000000707805157E-2</v>
      </c>
      <c r="M57" s="10">
        <f t="shared" si="56"/>
        <v>9545000</v>
      </c>
      <c r="N57" s="18">
        <f>2742058.47+912412.21+142375.34+249533.99</f>
        <v>4046380.01</v>
      </c>
      <c r="O57" s="18">
        <f>800000+1200000+3400000+900000+1200000+2730000+1315000+500000</f>
        <v>12045000</v>
      </c>
      <c r="P57" s="18">
        <f t="shared" ref="P57:P59" si="86">+O57+N57</f>
        <v>16091380.01</v>
      </c>
      <c r="Q57" s="10"/>
      <c r="R57" s="18">
        <v>4046380</v>
      </c>
      <c r="S57" s="18">
        <v>11545000</v>
      </c>
      <c r="T57" s="18">
        <f t="shared" ref="T57:T59" si="87">+S57+R57</f>
        <v>15591380</v>
      </c>
      <c r="U57" s="9"/>
      <c r="Z57" s="20">
        <f>+N57/I57</f>
        <v>0.99999999999999978</v>
      </c>
      <c r="AA57" s="20">
        <f>+O57/J57</f>
        <v>1.0433087916847119</v>
      </c>
      <c r="AB57" s="20">
        <f>+P57/K57</f>
        <v>1.0320690022101513</v>
      </c>
      <c r="AC57" s="12"/>
      <c r="AD57" s="12"/>
      <c r="AE57" s="19">
        <f>+R57/I57</f>
        <v>0.99999999752865509</v>
      </c>
      <c r="AF57" s="19">
        <f>+S57/J57</f>
        <v>1</v>
      </c>
      <c r="AG57" s="19">
        <f>+T57/K57</f>
        <v>0.99999999935861983</v>
      </c>
      <c r="AH57" s="12"/>
      <c r="AI57" s="12"/>
      <c r="AJ57" s="18">
        <f t="shared" si="57"/>
        <v>0</v>
      </c>
      <c r="AK57" s="18">
        <f t="shared" si="58"/>
        <v>-500000</v>
      </c>
      <c r="AL57" s="18">
        <f t="shared" si="59"/>
        <v>-499999.99999999814</v>
      </c>
      <c r="AO57" s="43"/>
      <c r="AQ57" s="43"/>
      <c r="AR57" s="43"/>
      <c r="AS57" s="43"/>
      <c r="AT57" s="43"/>
      <c r="AU57" s="43"/>
    </row>
    <row r="58" spans="1:53" ht="15.75" customHeight="1" x14ac:dyDescent="0.25">
      <c r="A58" s="22" t="s">
        <v>87</v>
      </c>
      <c r="B58" s="9"/>
      <c r="C58" s="18">
        <v>202319</v>
      </c>
      <c r="D58" s="18">
        <v>1054500</v>
      </c>
      <c r="E58" s="18">
        <f t="shared" si="85"/>
        <v>1256819</v>
      </c>
      <c r="F58" s="18"/>
      <c r="G58" s="18"/>
      <c r="H58" s="18"/>
      <c r="I58" s="18">
        <f>50047.33+29815.43</f>
        <v>79862.760000000009</v>
      </c>
      <c r="J58" s="18">
        <f>463627.75+169207.32</f>
        <v>632835.07000000007</v>
      </c>
      <c r="K58" s="18">
        <f t="shared" si="36"/>
        <v>712697.83000000007</v>
      </c>
      <c r="L58" s="10">
        <f t="shared" si="55"/>
        <v>122456.23999999999</v>
      </c>
      <c r="M58" s="10">
        <f t="shared" si="56"/>
        <v>421664.92999999993</v>
      </c>
      <c r="N58" s="18">
        <f>50047.33+29815.43</f>
        <v>79862.760000000009</v>
      </c>
      <c r="O58" s="18">
        <v>463627.75</v>
      </c>
      <c r="P58" s="18">
        <f t="shared" si="86"/>
        <v>543490.51</v>
      </c>
      <c r="Q58" s="10"/>
      <c r="R58" s="18">
        <f>+AR22</f>
        <v>77346.83</v>
      </c>
      <c r="S58" s="18">
        <f>+AU22</f>
        <v>160182.87</v>
      </c>
      <c r="T58" s="18">
        <f t="shared" si="87"/>
        <v>237529.7</v>
      </c>
      <c r="U58" s="9"/>
      <c r="Z58" s="20">
        <f>+N58/I58</f>
        <v>1</v>
      </c>
      <c r="AA58" s="20">
        <f>+O58/J58</f>
        <v>0.73262019122928812</v>
      </c>
      <c r="AB58" s="20">
        <f>+P58/K58</f>
        <v>0.76258196268115475</v>
      </c>
      <c r="AC58" s="12"/>
      <c r="AD58" s="12"/>
      <c r="AE58" s="19">
        <f>+R58/I58</f>
        <v>0.96849683131411923</v>
      </c>
      <c r="AF58" s="19"/>
      <c r="AG58" s="19">
        <f>+T58/K58</f>
        <v>0.33328247961692264</v>
      </c>
      <c r="AH58" s="12"/>
      <c r="AI58" s="12"/>
      <c r="AJ58" s="18">
        <f t="shared" si="57"/>
        <v>0</v>
      </c>
      <c r="AK58" s="18">
        <f t="shared" si="58"/>
        <v>169207.32000000007</v>
      </c>
      <c r="AL58" s="18">
        <f t="shared" si="59"/>
        <v>169207.32000000007</v>
      </c>
    </row>
    <row r="59" spans="1:53" x14ac:dyDescent="0.25">
      <c r="A59" s="22" t="s">
        <v>88</v>
      </c>
      <c r="B59" s="9"/>
      <c r="C59" s="18">
        <v>10648.368421052632</v>
      </c>
      <c r="D59" s="18">
        <v>55500.000000000007</v>
      </c>
      <c r="E59" s="18">
        <f t="shared" si="85"/>
        <v>66148.368421052641</v>
      </c>
      <c r="F59" s="18"/>
      <c r="G59" s="18"/>
      <c r="H59" s="18"/>
      <c r="I59" s="18"/>
      <c r="J59" s="18"/>
      <c r="K59" s="18">
        <f t="shared" si="36"/>
        <v>0</v>
      </c>
      <c r="L59" s="10">
        <f t="shared" si="55"/>
        <v>10648.368421052632</v>
      </c>
      <c r="M59" s="10">
        <f t="shared" si="56"/>
        <v>55500.000000000007</v>
      </c>
      <c r="N59" s="18"/>
      <c r="O59" s="18"/>
      <c r="P59" s="18">
        <f t="shared" si="86"/>
        <v>0</v>
      </c>
      <c r="Q59" s="10"/>
      <c r="R59" s="18"/>
      <c r="S59" s="18"/>
      <c r="T59" s="18">
        <f t="shared" si="87"/>
        <v>0</v>
      </c>
      <c r="U59" s="9"/>
      <c r="Z59" s="20"/>
      <c r="AA59" s="20"/>
      <c r="AB59" s="20"/>
      <c r="AC59" s="12"/>
      <c r="AD59" s="12"/>
      <c r="AE59" s="19"/>
      <c r="AF59" s="19"/>
      <c r="AG59" s="19"/>
      <c r="AH59" s="12"/>
      <c r="AI59" s="12"/>
      <c r="AJ59" s="18">
        <f t="shared" si="57"/>
        <v>0</v>
      </c>
      <c r="AK59" s="18">
        <f t="shared" si="58"/>
        <v>0</v>
      </c>
      <c r="AL59" s="18">
        <f t="shared" si="59"/>
        <v>0</v>
      </c>
    </row>
    <row r="60" spans="1:53" s="2" customFormat="1" x14ac:dyDescent="0.25">
      <c r="A60" s="23" t="s">
        <v>23</v>
      </c>
      <c r="B60" s="24"/>
      <c r="C60" s="25">
        <f t="shared" ref="C60:K60" si="88">SUM(C57:C59)</f>
        <v>4259347.3684210526</v>
      </c>
      <c r="D60" s="25">
        <f t="shared" si="88"/>
        <v>22200000</v>
      </c>
      <c r="E60" s="25">
        <f t="shared" si="88"/>
        <v>26459347.368421052</v>
      </c>
      <c r="F60" s="25"/>
      <c r="G60" s="25"/>
      <c r="H60" s="25"/>
      <c r="I60" s="25">
        <f t="shared" si="88"/>
        <v>4126242.7700000005</v>
      </c>
      <c r="J60" s="25">
        <f t="shared" si="88"/>
        <v>12177835.07</v>
      </c>
      <c r="K60" s="25">
        <f t="shared" si="88"/>
        <v>16304077.840000002</v>
      </c>
      <c r="L60" s="10">
        <f t="shared" si="55"/>
        <v>133104.5984210521</v>
      </c>
      <c r="M60" s="10">
        <f t="shared" si="56"/>
        <v>10022164.93</v>
      </c>
      <c r="N60" s="25">
        <f t="shared" ref="N60:T60" si="89">SUM(N57:N59)</f>
        <v>4126242.7699999996</v>
      </c>
      <c r="O60" s="25">
        <f t="shared" si="89"/>
        <v>12508627.75</v>
      </c>
      <c r="P60" s="25">
        <f t="shared" si="89"/>
        <v>16634870.52</v>
      </c>
      <c r="Q60" s="25">
        <f t="shared" si="89"/>
        <v>0</v>
      </c>
      <c r="R60" s="25">
        <f t="shared" si="89"/>
        <v>4123726.83</v>
      </c>
      <c r="S60" s="25">
        <f t="shared" si="89"/>
        <v>11705182.869999999</v>
      </c>
      <c r="T60" s="25">
        <f t="shared" si="89"/>
        <v>15828909.699999999</v>
      </c>
      <c r="U60" s="9"/>
      <c r="V60" s="7"/>
      <c r="W60" s="43"/>
      <c r="X60" s="44"/>
      <c r="Y60" s="44"/>
      <c r="Z60" s="27">
        <f t="shared" ref="Z60:AB61" si="90">+N60/I60</f>
        <v>0.99999999999999978</v>
      </c>
      <c r="AA60" s="27">
        <f t="shared" si="90"/>
        <v>1.0271635046868803</v>
      </c>
      <c r="AB60" s="27">
        <f t="shared" si="90"/>
        <v>1.0202889536744262</v>
      </c>
      <c r="AC60" s="12"/>
      <c r="AD60" s="12"/>
      <c r="AE60" s="26">
        <f t="shared" ref="AE60:AG61" si="91">+R60/I60</f>
        <v>0.99939025885284971</v>
      </c>
      <c r="AF60" s="26">
        <f t="shared" si="91"/>
        <v>0.96118750194241209</v>
      </c>
      <c r="AG60" s="26">
        <f t="shared" si="91"/>
        <v>0.97085587147810115</v>
      </c>
      <c r="AH60" s="12"/>
      <c r="AI60" s="12"/>
      <c r="AJ60" s="25">
        <f t="shared" si="57"/>
        <v>0</v>
      </c>
      <c r="AK60" s="25">
        <f t="shared" si="58"/>
        <v>-330792.6799999997</v>
      </c>
      <c r="AL60" s="25">
        <f t="shared" si="59"/>
        <v>-330792.67999999784</v>
      </c>
      <c r="AM60" s="7"/>
      <c r="AN60" s="43"/>
      <c r="AO60" s="7"/>
      <c r="AP60" s="7"/>
      <c r="AQ60" s="7"/>
      <c r="AR60" s="7"/>
      <c r="AS60" s="7"/>
      <c r="AT60" s="7"/>
      <c r="AU60" s="7"/>
      <c r="AV60" s="43"/>
    </row>
    <row r="61" spans="1:53" ht="39" customHeight="1" x14ac:dyDescent="0.25">
      <c r="A61" s="29" t="s">
        <v>17</v>
      </c>
      <c r="B61" s="9"/>
      <c r="C61" s="30">
        <f t="shared" ref="C61:K61" si="92">+C60+C56+C52</f>
        <v>65599999.998947367</v>
      </c>
      <c r="D61" s="30">
        <f t="shared" si="92"/>
        <v>32800000</v>
      </c>
      <c r="E61" s="30">
        <f t="shared" si="92"/>
        <v>98399999.998947367</v>
      </c>
      <c r="F61" s="30"/>
      <c r="G61" s="30"/>
      <c r="H61" s="30"/>
      <c r="I61" s="30">
        <f t="shared" si="92"/>
        <v>63714000.000000007</v>
      </c>
      <c r="J61" s="30">
        <f t="shared" si="92"/>
        <v>18699999.560000002</v>
      </c>
      <c r="K61" s="30">
        <f t="shared" si="92"/>
        <v>82413999.560000002</v>
      </c>
      <c r="L61" s="10">
        <f t="shared" si="55"/>
        <v>1885999.9989473596</v>
      </c>
      <c r="M61" s="10">
        <f t="shared" si="56"/>
        <v>14100000.439999998</v>
      </c>
      <c r="N61" s="30">
        <f>+N60+N56+N52</f>
        <v>63714000.000000007</v>
      </c>
      <c r="O61" s="30">
        <f>+O60+O56+O52</f>
        <v>18449999.559999999</v>
      </c>
      <c r="P61" s="30">
        <f>+P60+P56+P52</f>
        <v>82163999.560000002</v>
      </c>
      <c r="Q61" s="10"/>
      <c r="R61" s="30">
        <f>+R60+R56+R52</f>
        <v>62659743.019999988</v>
      </c>
      <c r="S61" s="30">
        <f>+S60+S56+S52</f>
        <v>17055802.41</v>
      </c>
      <c r="T61" s="30">
        <f>+T60+T56+T52</f>
        <v>79715545.429999992</v>
      </c>
      <c r="U61" s="9"/>
      <c r="Z61" s="32">
        <f t="shared" si="90"/>
        <v>1</v>
      </c>
      <c r="AA61" s="32">
        <f t="shared" si="90"/>
        <v>0.98663101572821621</v>
      </c>
      <c r="AB61" s="32">
        <f t="shared" si="90"/>
        <v>0.99696653479585118</v>
      </c>
      <c r="AC61" s="12"/>
      <c r="AD61" s="12"/>
      <c r="AE61" s="31">
        <f t="shared" si="91"/>
        <v>0.98345329158426686</v>
      </c>
      <c r="AF61" s="31">
        <f t="shared" si="91"/>
        <v>0.91207501664775426</v>
      </c>
      <c r="AG61" s="31">
        <f t="shared" si="91"/>
        <v>0.96725733316661267</v>
      </c>
      <c r="AH61" s="12"/>
      <c r="AI61" s="12"/>
      <c r="AJ61" s="30">
        <f t="shared" si="57"/>
        <v>0</v>
      </c>
      <c r="AK61" s="30">
        <f t="shared" si="58"/>
        <v>250000.00000000373</v>
      </c>
      <c r="AL61" s="30">
        <f t="shared" si="59"/>
        <v>250000</v>
      </c>
      <c r="AO61" s="43"/>
      <c r="AQ61" s="43"/>
      <c r="AR61" s="43"/>
      <c r="AS61" s="43"/>
      <c r="AT61" s="43"/>
      <c r="AU61" s="43"/>
    </row>
    <row r="62" spans="1:53" x14ac:dyDescent="0.25">
      <c r="A62" s="45"/>
      <c r="B62" s="9"/>
      <c r="C62" s="46">
        <f>+C50+C54+C58</f>
        <v>3116000</v>
      </c>
      <c r="D62" s="46">
        <f>+C51+C55+C59</f>
        <v>163999.99894736844</v>
      </c>
      <c r="E62" s="46"/>
      <c r="F62" s="46"/>
      <c r="G62" s="46"/>
      <c r="H62" s="46"/>
      <c r="I62" s="46"/>
      <c r="J62" s="46"/>
      <c r="K62" s="46"/>
      <c r="L62" s="10">
        <f t="shared" si="55"/>
        <v>3116000</v>
      </c>
      <c r="M62" s="10">
        <f t="shared" si="56"/>
        <v>163999.99894736844</v>
      </c>
      <c r="N62" s="46"/>
      <c r="O62" s="46"/>
      <c r="P62" s="46"/>
      <c r="Q62" s="10"/>
      <c r="R62" s="46"/>
      <c r="S62" s="46"/>
      <c r="T62" s="46"/>
      <c r="U62" s="9"/>
      <c r="Z62" s="48"/>
      <c r="AA62" s="48"/>
      <c r="AB62" s="48"/>
      <c r="AC62" s="12"/>
      <c r="AD62" s="12"/>
      <c r="AE62" s="47"/>
      <c r="AF62" s="47"/>
      <c r="AG62" s="47"/>
      <c r="AH62" s="12"/>
      <c r="AI62" s="12"/>
      <c r="AJ62" s="46">
        <f t="shared" si="57"/>
        <v>0</v>
      </c>
      <c r="AK62" s="46">
        <f t="shared" si="58"/>
        <v>0</v>
      </c>
      <c r="AL62" s="46">
        <f t="shared" si="59"/>
        <v>0</v>
      </c>
    </row>
    <row r="63" spans="1:53" x14ac:dyDescent="0.25">
      <c r="A63" s="29" t="s">
        <v>54</v>
      </c>
      <c r="B63" s="9"/>
      <c r="C63" s="30">
        <f t="shared" ref="C63:K63" si="93">+C61+C48+C45+C32+C25+C20</f>
        <v>278999999.99894738</v>
      </c>
      <c r="D63" s="30">
        <f t="shared" si="93"/>
        <v>62900000</v>
      </c>
      <c r="E63" s="30">
        <f t="shared" si="93"/>
        <v>341899999.99894738</v>
      </c>
      <c r="F63" s="30">
        <f t="shared" si="93"/>
        <v>87300000</v>
      </c>
      <c r="G63" s="30">
        <f t="shared" si="93"/>
        <v>21825000</v>
      </c>
      <c r="H63" s="30">
        <f t="shared" si="93"/>
        <v>109125000</v>
      </c>
      <c r="I63" s="30">
        <f t="shared" si="93"/>
        <v>272265210</v>
      </c>
      <c r="J63" s="30">
        <f t="shared" si="93"/>
        <v>48799999.560000002</v>
      </c>
      <c r="K63" s="30">
        <f t="shared" si="93"/>
        <v>321065209.56</v>
      </c>
      <c r="L63" s="10">
        <f t="shared" si="55"/>
        <v>6734789.998947382</v>
      </c>
      <c r="M63" s="10">
        <f t="shared" si="56"/>
        <v>14100000.439999998</v>
      </c>
      <c r="N63" s="30">
        <f>+N61+N48+N45+N32+N25+N20</f>
        <v>272075353.22000003</v>
      </c>
      <c r="O63" s="30">
        <f>+O61+O48+O45+O32+O25+O20</f>
        <v>48512131.219999999</v>
      </c>
      <c r="P63" s="30">
        <f>+P61+P48+P45+P32+P25+P20</f>
        <v>320587484.44</v>
      </c>
      <c r="Q63" s="10"/>
      <c r="R63" s="30">
        <f>+R61+R48+R45+R32+R25+R20</f>
        <v>122714669.55999997</v>
      </c>
      <c r="S63" s="30">
        <f>+S61+S48+S45+S32+S25+S20</f>
        <v>26584843.329999998</v>
      </c>
      <c r="T63" s="30">
        <f>+T61+T48+T45+T32+T25+T20</f>
        <v>149299512.88999999</v>
      </c>
      <c r="U63" s="9"/>
      <c r="Z63" s="32">
        <f>+N63/I63</f>
        <v>0.99930267704786824</v>
      </c>
      <c r="AA63" s="32">
        <f>+O63/J63</f>
        <v>0.99410105855337016</v>
      </c>
      <c r="AB63" s="32">
        <f>+P63/K63</f>
        <v>0.99851206201800968</v>
      </c>
      <c r="AC63" s="12"/>
      <c r="AD63" s="12"/>
      <c r="AE63" s="31">
        <f>+R63/I63</f>
        <v>0.45071740733970372</v>
      </c>
      <c r="AF63" s="31">
        <f>+S63/J63</f>
        <v>0.54477138462498786</v>
      </c>
      <c r="AG63" s="31">
        <f>+T63/K63</f>
        <v>0.46501305169316143</v>
      </c>
      <c r="AH63" s="12"/>
      <c r="AI63" s="12"/>
      <c r="AJ63" s="30">
        <f t="shared" si="57"/>
        <v>189856.77999997139</v>
      </c>
      <c r="AK63" s="30">
        <f t="shared" si="58"/>
        <v>287868.34000000358</v>
      </c>
      <c r="AL63" s="30">
        <f t="shared" si="59"/>
        <v>477725.12000000477</v>
      </c>
      <c r="AO63" s="7">
        <f>+T63-'[1]ACUMULADO INVERSION 2016'!$Z$112</f>
        <v>149299512.88999999</v>
      </c>
    </row>
    <row r="64" spans="1:53" ht="2.25" customHeight="1" x14ac:dyDescent="0.25">
      <c r="A64" s="45"/>
      <c r="B64" s="9"/>
      <c r="C64" s="46"/>
      <c r="D64" s="46"/>
      <c r="E64" s="46"/>
      <c r="F64" s="46"/>
      <c r="G64" s="46"/>
      <c r="H64" s="46"/>
      <c r="I64" s="46"/>
      <c r="J64" s="46"/>
      <c r="K64" s="46"/>
      <c r="L64" s="10">
        <f t="shared" si="55"/>
        <v>0</v>
      </c>
      <c r="M64" s="10">
        <f t="shared" si="56"/>
        <v>0</v>
      </c>
      <c r="N64" s="46"/>
      <c r="O64" s="46"/>
      <c r="P64" s="46"/>
      <c r="Q64" s="10"/>
      <c r="R64" s="46"/>
      <c r="S64" s="46"/>
      <c r="T64" s="46"/>
      <c r="U64" s="9"/>
      <c r="Z64" s="48"/>
      <c r="AA64" s="48"/>
      <c r="AB64" s="48"/>
      <c r="AC64" s="12"/>
      <c r="AD64" s="12"/>
      <c r="AE64" s="47"/>
      <c r="AF64" s="47"/>
      <c r="AG64" s="47"/>
      <c r="AH64" s="12"/>
      <c r="AI64" s="12"/>
      <c r="AJ64" s="46"/>
      <c r="AK64" s="46"/>
      <c r="AL64" s="46"/>
    </row>
    <row r="65" spans="1:41" ht="2.25" customHeight="1" x14ac:dyDescent="0.25">
      <c r="B65" s="9"/>
      <c r="C65" s="46"/>
      <c r="D65" s="46"/>
      <c r="E65" s="46"/>
      <c r="F65" s="46"/>
      <c r="G65" s="46"/>
      <c r="H65" s="46"/>
      <c r="I65" s="46"/>
      <c r="J65" s="46"/>
      <c r="K65" s="46"/>
      <c r="L65" s="10">
        <f t="shared" si="55"/>
        <v>0</v>
      </c>
      <c r="M65" s="10">
        <f t="shared" si="56"/>
        <v>0</v>
      </c>
      <c r="N65" s="46"/>
      <c r="O65" s="46"/>
      <c r="P65" s="46"/>
      <c r="Q65" s="10"/>
      <c r="R65" s="46"/>
      <c r="S65" s="46"/>
      <c r="T65" s="46"/>
      <c r="U65" s="9"/>
      <c r="Z65" s="48"/>
      <c r="AA65" s="48"/>
      <c r="AB65" s="48"/>
      <c r="AC65" s="12"/>
      <c r="AD65" s="12"/>
      <c r="AE65" s="47"/>
      <c r="AF65" s="47"/>
      <c r="AG65" s="47"/>
      <c r="AH65" s="12"/>
      <c r="AI65" s="12"/>
      <c r="AJ65" s="46"/>
      <c r="AK65" s="46"/>
      <c r="AL65" s="46"/>
    </row>
    <row r="66" spans="1:41" ht="7.5" customHeight="1" x14ac:dyDescent="0.25">
      <c r="A66" s="45"/>
      <c r="B66" s="9"/>
      <c r="C66" s="46"/>
      <c r="D66" s="46"/>
      <c r="E66" s="46"/>
      <c r="F66" s="46"/>
      <c r="G66" s="46"/>
      <c r="H66" s="46"/>
      <c r="I66" s="46"/>
      <c r="J66" s="46"/>
      <c r="K66" s="46"/>
      <c r="L66" s="10">
        <f t="shared" si="55"/>
        <v>0</v>
      </c>
      <c r="M66" s="10">
        <f t="shared" si="56"/>
        <v>0</v>
      </c>
      <c r="N66" s="46"/>
      <c r="O66" s="46"/>
      <c r="P66" s="46"/>
      <c r="Q66" s="10"/>
      <c r="R66" s="46"/>
      <c r="S66" s="46"/>
      <c r="T66" s="46"/>
      <c r="U66" s="9"/>
      <c r="Z66" s="48"/>
      <c r="AA66" s="48"/>
      <c r="AB66" s="48"/>
      <c r="AC66" s="12"/>
      <c r="AD66" s="12"/>
      <c r="AE66" s="47"/>
      <c r="AF66" s="47"/>
      <c r="AG66" s="47"/>
      <c r="AH66" s="12"/>
      <c r="AI66" s="12"/>
      <c r="AJ66" s="46"/>
      <c r="AK66" s="46"/>
      <c r="AL66" s="46"/>
    </row>
    <row r="67" spans="1:41" ht="42" customHeight="1" x14ac:dyDescent="0.25">
      <c r="A67" s="13" t="s">
        <v>99</v>
      </c>
      <c r="B67" s="9"/>
      <c r="C67" s="165" t="s">
        <v>52</v>
      </c>
      <c r="D67" s="165"/>
      <c r="E67" s="165"/>
      <c r="F67" s="66"/>
      <c r="G67" s="66"/>
      <c r="H67" s="66"/>
      <c r="I67" s="165" t="s">
        <v>1</v>
      </c>
      <c r="J67" s="165"/>
      <c r="K67" s="165"/>
      <c r="L67" s="10"/>
      <c r="M67" s="10"/>
      <c r="N67" s="165" t="s">
        <v>2</v>
      </c>
      <c r="O67" s="165"/>
      <c r="P67" s="165"/>
      <c r="Q67" s="10"/>
      <c r="R67" s="165" t="s">
        <v>3</v>
      </c>
      <c r="S67" s="165"/>
      <c r="T67" s="165"/>
      <c r="U67" s="9"/>
      <c r="Z67" s="160" t="str">
        <f>+Z5</f>
        <v>Porcentaje de Avance Comprometido vs Radicado</v>
      </c>
      <c r="AA67" s="161"/>
      <c r="AB67" s="162"/>
      <c r="AC67" s="12"/>
      <c r="AD67" s="12"/>
      <c r="AE67" s="157" t="str">
        <f>+AE5</f>
        <v>Porcentaje de Avance Pagado vs Radicado</v>
      </c>
      <c r="AF67" s="158"/>
      <c r="AG67" s="159"/>
      <c r="AH67" s="12"/>
      <c r="AI67" s="12"/>
      <c r="AJ67" s="165" t="s">
        <v>89</v>
      </c>
      <c r="AK67" s="165"/>
      <c r="AL67" s="165"/>
      <c r="AO67" s="7">
        <f>+T63-'[1]ACUMULADO INVERSION 2016'!$Z$112</f>
        <v>149299512.88999999</v>
      </c>
    </row>
    <row r="68" spans="1:41" x14ac:dyDescent="0.25">
      <c r="A68" s="14"/>
      <c r="B68" s="9"/>
      <c r="C68" s="15" t="s">
        <v>4</v>
      </c>
      <c r="D68" s="15" t="s">
        <v>5</v>
      </c>
      <c r="E68" s="15" t="s">
        <v>6</v>
      </c>
      <c r="F68" s="15"/>
      <c r="G68" s="15"/>
      <c r="H68" s="15"/>
      <c r="I68" s="15" t="s">
        <v>4</v>
      </c>
      <c r="J68" s="15" t="s">
        <v>5</v>
      </c>
      <c r="K68" s="15" t="s">
        <v>6</v>
      </c>
      <c r="L68" s="10"/>
      <c r="M68" s="10"/>
      <c r="N68" s="15" t="s">
        <v>4</v>
      </c>
      <c r="O68" s="15" t="s">
        <v>5</v>
      </c>
      <c r="P68" s="15" t="s">
        <v>6</v>
      </c>
      <c r="Q68" s="10"/>
      <c r="R68" s="15" t="s">
        <v>4</v>
      </c>
      <c r="S68" s="15" t="s">
        <v>5</v>
      </c>
      <c r="T68" s="15" t="s">
        <v>6</v>
      </c>
      <c r="U68" s="9"/>
      <c r="Z68" s="17" t="s">
        <v>4</v>
      </c>
      <c r="AA68" s="17" t="s">
        <v>5</v>
      </c>
      <c r="AB68" s="17" t="s">
        <v>6</v>
      </c>
      <c r="AC68" s="12"/>
      <c r="AD68" s="12"/>
      <c r="AE68" s="16" t="s">
        <v>4</v>
      </c>
      <c r="AF68" s="16" t="s">
        <v>5</v>
      </c>
      <c r="AG68" s="16" t="s">
        <v>6</v>
      </c>
      <c r="AH68" s="12"/>
      <c r="AI68" s="12"/>
      <c r="AJ68" s="15" t="s">
        <v>4</v>
      </c>
      <c r="AK68" s="15" t="s">
        <v>5</v>
      </c>
      <c r="AL68" s="15" t="s">
        <v>6</v>
      </c>
    </row>
    <row r="69" spans="1:41" ht="20.25" customHeight="1" x14ac:dyDescent="0.25">
      <c r="A69" s="4" t="s">
        <v>90</v>
      </c>
      <c r="B69" s="9"/>
      <c r="C69" s="18">
        <v>24368105</v>
      </c>
      <c r="D69" s="18">
        <v>7310431.5</v>
      </c>
      <c r="E69" s="18">
        <f t="shared" ref="E69:E73" si="94">+D69+C69</f>
        <v>31678536.5</v>
      </c>
      <c r="F69" s="18"/>
      <c r="G69" s="18"/>
      <c r="H69" s="18"/>
      <c r="I69" s="18">
        <f>2450000+422592+805132+3672276+1373149.59+4726850.41+2313144.44+1188977.42+5229127.58+2186855.56</f>
        <v>24368104.999999996</v>
      </c>
      <c r="J69" s="18">
        <v>0</v>
      </c>
      <c r="K69" s="18">
        <f t="shared" ref="K69:K74" si="95">+J69+I69</f>
        <v>24368104.999999996</v>
      </c>
      <c r="L69" s="10">
        <f t="shared" ref="L69:L106" si="96">+C69-I69</f>
        <v>0</v>
      </c>
      <c r="M69" s="10">
        <f t="shared" ref="M69:M106" si="97">+D69-J69</f>
        <v>7310431.5</v>
      </c>
      <c r="N69" s="18">
        <f>4455614.26+1402500+5494000+4590000-421668.15-5098.95+4801150-14913.75+210000-21343.81-300000-300000+300000-300000-204522.5+4982387-300000-240027.61-300000+420000-286367.48+300000-19916.67-300000+240000+750000-277961.47-300000-189.08</f>
        <v>24353641.790000003</v>
      </c>
      <c r="O69" s="18">
        <f>1302613+791742.7</f>
        <v>2094355.7</v>
      </c>
      <c r="P69" s="18">
        <f t="shared" ref="P69:P74" si="98">+O69+N69</f>
        <v>26447997.490000002</v>
      </c>
      <c r="Q69" s="10"/>
      <c r="R69" s="18">
        <v>7616100.5800000019</v>
      </c>
      <c r="S69" s="18">
        <v>0</v>
      </c>
      <c r="T69" s="18">
        <f t="shared" ref="T69:T73" si="99">+S69+R69</f>
        <v>7616100.5800000019</v>
      </c>
      <c r="U69" s="9"/>
      <c r="Z69" s="20">
        <f>+N69/I69</f>
        <v>0.99940646964546509</v>
      </c>
      <c r="AA69" s="20"/>
      <c r="AB69" s="20">
        <f t="shared" ref="AB69:AB75" si="100">+P69/K69</f>
        <v>1.0853530666418256</v>
      </c>
      <c r="AC69" s="12"/>
      <c r="AD69" s="12"/>
      <c r="AE69" s="19">
        <f>+R69/I69</f>
        <v>0.3125438182410985</v>
      </c>
      <c r="AF69" s="19"/>
      <c r="AG69" s="19">
        <f t="shared" ref="AG69:AG75" si="101">+T69/K69</f>
        <v>0.3125438182410985</v>
      </c>
      <c r="AH69" s="12"/>
      <c r="AI69" s="12"/>
      <c r="AJ69" s="18">
        <f t="shared" ref="AJ69:AL75" si="102">+I69-N69</f>
        <v>14463.209999993443</v>
      </c>
      <c r="AK69" s="18">
        <f t="shared" si="102"/>
        <v>-2094355.7</v>
      </c>
      <c r="AL69" s="18">
        <f t="shared" si="102"/>
        <v>-2079892.4900000058</v>
      </c>
    </row>
    <row r="70" spans="1:41" ht="20.25" customHeight="1" x14ac:dyDescent="0.25">
      <c r="A70" s="4" t="s">
        <v>93</v>
      </c>
      <c r="B70" s="9"/>
      <c r="C70" s="18"/>
      <c r="D70" s="18">
        <v>7000000</v>
      </c>
      <c r="E70" s="18">
        <f t="shared" si="94"/>
        <v>7000000</v>
      </c>
      <c r="F70" s="18"/>
      <c r="G70" s="18"/>
      <c r="H70" s="18"/>
      <c r="I70" s="18"/>
      <c r="J70" s="18">
        <f>7000000-760405.14</f>
        <v>6239594.8600000003</v>
      </c>
      <c r="K70" s="18">
        <f t="shared" si="95"/>
        <v>6239594.8600000003</v>
      </c>
      <c r="L70" s="10"/>
      <c r="M70" s="10"/>
      <c r="N70" s="18"/>
      <c r="O70" s="18">
        <f>512063.46+5863578.49-136047.09</f>
        <v>6239594.8600000003</v>
      </c>
      <c r="P70" s="18">
        <f t="shared" si="98"/>
        <v>6239594.8600000003</v>
      </c>
      <c r="Q70" s="10"/>
      <c r="R70" s="18"/>
      <c r="S70" s="18">
        <v>6028407.1800000016</v>
      </c>
      <c r="T70" s="18">
        <f t="shared" si="99"/>
        <v>6028407.1800000016</v>
      </c>
      <c r="U70" s="9"/>
      <c r="Z70" s="20"/>
      <c r="AA70" s="20">
        <f>+O70/J70</f>
        <v>1</v>
      </c>
      <c r="AB70" s="20">
        <f t="shared" si="100"/>
        <v>1</v>
      </c>
      <c r="AC70" s="12"/>
      <c r="AD70" s="12"/>
      <c r="AE70" s="19"/>
      <c r="AF70" s="19">
        <f>+S70/J70</f>
        <v>0.9661536229934008</v>
      </c>
      <c r="AG70" s="19">
        <f t="shared" si="101"/>
        <v>0.9661536229934008</v>
      </c>
      <c r="AH70" s="12"/>
      <c r="AI70" s="12"/>
      <c r="AJ70" s="18">
        <f t="shared" si="102"/>
        <v>0</v>
      </c>
      <c r="AK70" s="18">
        <f t="shared" si="102"/>
        <v>0</v>
      </c>
      <c r="AL70" s="18">
        <f t="shared" si="102"/>
        <v>0</v>
      </c>
    </row>
    <row r="71" spans="1:41" ht="20.25" customHeight="1" x14ac:dyDescent="0.25">
      <c r="A71" s="4" t="s">
        <v>92</v>
      </c>
      <c r="B71" s="9"/>
      <c r="C71" s="18">
        <v>600000</v>
      </c>
      <c r="D71" s="18">
        <v>600000</v>
      </c>
      <c r="E71" s="18">
        <f t="shared" si="94"/>
        <v>1200000</v>
      </c>
      <c r="F71" s="18"/>
      <c r="G71" s="18"/>
      <c r="H71" s="18"/>
      <c r="I71" s="18">
        <f>600000+400000</f>
        <v>1000000</v>
      </c>
      <c r="J71" s="18">
        <v>579115.79</v>
      </c>
      <c r="K71" s="18">
        <f t="shared" si="95"/>
        <v>1579115.79</v>
      </c>
      <c r="L71" s="10">
        <f t="shared" si="96"/>
        <v>-400000</v>
      </c>
      <c r="M71" s="10">
        <f t="shared" si="97"/>
        <v>20884.209999999963</v>
      </c>
      <c r="N71" s="18">
        <f>600000+400000</f>
        <v>1000000</v>
      </c>
      <c r="O71" s="18">
        <v>600000</v>
      </c>
      <c r="P71" s="18">
        <f t="shared" si="98"/>
        <v>1600000</v>
      </c>
      <c r="Q71" s="10"/>
      <c r="R71" s="18">
        <v>1000000</v>
      </c>
      <c r="S71" s="18">
        <v>579115.75</v>
      </c>
      <c r="T71" s="18">
        <f t="shared" si="99"/>
        <v>1579115.75</v>
      </c>
      <c r="U71" s="9"/>
      <c r="Z71" s="20">
        <f>+N71/I71</f>
        <v>1</v>
      </c>
      <c r="AA71" s="20">
        <f>+O71/J71</f>
        <v>1.0360622354987075</v>
      </c>
      <c r="AB71" s="20">
        <f t="shared" si="100"/>
        <v>1.0132252556349906</v>
      </c>
      <c r="AC71" s="12"/>
      <c r="AD71" s="12"/>
      <c r="AE71" s="19">
        <f>+R71/I71</f>
        <v>1</v>
      </c>
      <c r="AF71" s="19">
        <f>+S71/J71</f>
        <v>0.99999993092918427</v>
      </c>
      <c r="AG71" s="19">
        <f t="shared" si="101"/>
        <v>0.99999997466936863</v>
      </c>
      <c r="AH71" s="12"/>
      <c r="AI71" s="12"/>
      <c r="AJ71" s="18">
        <f t="shared" si="102"/>
        <v>0</v>
      </c>
      <c r="AK71" s="18">
        <f t="shared" si="102"/>
        <v>-20884.209999999963</v>
      </c>
      <c r="AL71" s="18">
        <f t="shared" si="102"/>
        <v>-20884.209999999963</v>
      </c>
    </row>
    <row r="72" spans="1:41" ht="20.25" customHeight="1" x14ac:dyDescent="0.25">
      <c r="A72" s="4" t="s">
        <v>91</v>
      </c>
      <c r="B72" s="9"/>
      <c r="C72" s="18">
        <v>25056809</v>
      </c>
      <c r="D72" s="18">
        <v>7517042.7000000002</v>
      </c>
      <c r="E72" s="18">
        <f t="shared" si="94"/>
        <v>32573851.699999999</v>
      </c>
      <c r="F72" s="18"/>
      <c r="G72" s="18"/>
      <c r="H72" s="18"/>
      <c r="I72" s="18">
        <f>1252841+1823475.5+1015101.3+987967.37+2747434.99+3411559.21+1514989.25+4336685.86+4080883.51+3157228.78+674676.14+53966.09</f>
        <v>25056809.000000004</v>
      </c>
      <c r="J72" s="18">
        <v>0</v>
      </c>
      <c r="K72" s="18">
        <f t="shared" si="95"/>
        <v>25056809.000000004</v>
      </c>
      <c r="L72" s="10">
        <f t="shared" si="96"/>
        <v>0</v>
      </c>
      <c r="M72" s="10">
        <f t="shared" si="97"/>
        <v>7517042.7000000002</v>
      </c>
      <c r="N72" s="18">
        <f>3058444.56+1897993.12+2743476.54+3095621.92-16702.9+4293570.22-4606.08-11954.65+1795708.08+4286123.52-8792.74+3816120.59+57840-26452.56</f>
        <v>24976389.620000005</v>
      </c>
      <c r="O72" s="18"/>
      <c r="P72" s="18">
        <f t="shared" si="98"/>
        <v>24976389.620000005</v>
      </c>
      <c r="Q72" s="10"/>
      <c r="R72" s="18">
        <v>5526364.4400000004</v>
      </c>
      <c r="S72" s="18"/>
      <c r="T72" s="18">
        <f t="shared" si="99"/>
        <v>5526364.4400000004</v>
      </c>
      <c r="U72" s="9"/>
      <c r="Z72" s="20">
        <f>+N72/I72</f>
        <v>0.99679051789874762</v>
      </c>
      <c r="AA72" s="20"/>
      <c r="AB72" s="20">
        <f t="shared" si="100"/>
        <v>0.99679051789874762</v>
      </c>
      <c r="AC72" s="12"/>
      <c r="AD72" s="12"/>
      <c r="AE72" s="19">
        <f>+R72/I72</f>
        <v>0.22055340087398997</v>
      </c>
      <c r="AF72" s="19"/>
      <c r="AG72" s="19">
        <f t="shared" si="101"/>
        <v>0.22055340087398997</v>
      </c>
      <c r="AH72" s="12"/>
      <c r="AI72" s="12"/>
      <c r="AJ72" s="18">
        <f t="shared" si="102"/>
        <v>80419.379999998957</v>
      </c>
      <c r="AK72" s="18">
        <f t="shared" si="102"/>
        <v>0</v>
      </c>
      <c r="AL72" s="18">
        <f t="shared" si="102"/>
        <v>80419.379999998957</v>
      </c>
    </row>
    <row r="73" spans="1:41" ht="20.25" customHeight="1" x14ac:dyDescent="0.25">
      <c r="A73" s="4" t="s">
        <v>94</v>
      </c>
      <c r="B73" s="9"/>
      <c r="C73" s="18"/>
      <c r="D73" s="18">
        <v>14771287</v>
      </c>
      <c r="E73" s="18">
        <f t="shared" si="94"/>
        <v>14771287</v>
      </c>
      <c r="F73" s="18"/>
      <c r="G73" s="18"/>
      <c r="H73" s="18"/>
      <c r="I73" s="18"/>
      <c r="J73" s="18">
        <f>1932884.25+1972165</f>
        <v>3905049.25</v>
      </c>
      <c r="K73" s="18">
        <f t="shared" si="95"/>
        <v>3905049.25</v>
      </c>
      <c r="L73" s="10"/>
      <c r="M73" s="10"/>
      <c r="N73" s="18"/>
      <c r="O73" s="18">
        <f>1932884.25+1972165</f>
        <v>3905049.25</v>
      </c>
      <c r="P73" s="18">
        <f t="shared" si="98"/>
        <v>3905049.25</v>
      </c>
      <c r="Q73" s="10"/>
      <c r="R73" s="18"/>
      <c r="S73" s="18">
        <v>1932884.25</v>
      </c>
      <c r="T73" s="18">
        <f t="shared" si="99"/>
        <v>1932884.25</v>
      </c>
      <c r="U73" s="9"/>
      <c r="Z73" s="20"/>
      <c r="AA73" s="20">
        <f>+O73/J73</f>
        <v>1</v>
      </c>
      <c r="AB73" s="20">
        <f t="shared" si="100"/>
        <v>1</v>
      </c>
      <c r="AC73" s="12"/>
      <c r="AD73" s="12"/>
      <c r="AE73" s="19"/>
      <c r="AF73" s="19">
        <f>+S73/J73</f>
        <v>0.49497051797746211</v>
      </c>
      <c r="AG73" s="19">
        <f t="shared" si="101"/>
        <v>0.49497051797746211</v>
      </c>
      <c r="AH73" s="12"/>
      <c r="AI73" s="12"/>
      <c r="AJ73" s="18">
        <f t="shared" si="102"/>
        <v>0</v>
      </c>
      <c r="AK73" s="18">
        <f t="shared" si="102"/>
        <v>0</v>
      </c>
      <c r="AL73" s="18">
        <f t="shared" si="102"/>
        <v>0</v>
      </c>
    </row>
    <row r="74" spans="1:41" ht="20.25" customHeight="1" x14ac:dyDescent="0.25">
      <c r="A74" s="4" t="s">
        <v>104</v>
      </c>
      <c r="B74" s="9"/>
      <c r="C74" s="18"/>
      <c r="D74" s="18"/>
      <c r="E74" s="18"/>
      <c r="F74" s="18"/>
      <c r="G74" s="18"/>
      <c r="H74" s="18"/>
      <c r="I74" s="18"/>
      <c r="J74" s="18">
        <v>760405.14</v>
      </c>
      <c r="K74" s="18">
        <f t="shared" si="95"/>
        <v>760405.14</v>
      </c>
      <c r="L74" s="10"/>
      <c r="M74" s="10"/>
      <c r="N74" s="18"/>
      <c r="O74" s="18">
        <v>760405.14</v>
      </c>
      <c r="P74" s="18">
        <f t="shared" si="98"/>
        <v>760405.14</v>
      </c>
      <c r="Q74" s="10"/>
      <c r="R74" s="18"/>
      <c r="S74" s="18"/>
      <c r="T74" s="18"/>
      <c r="U74" s="9"/>
      <c r="Z74" s="20"/>
      <c r="AA74" s="20">
        <f>+O74/J74</f>
        <v>1</v>
      </c>
      <c r="AB74" s="20">
        <f t="shared" ref="AB74" si="103">+P74/K74</f>
        <v>1</v>
      </c>
      <c r="AC74" s="12"/>
      <c r="AD74" s="12"/>
      <c r="AE74" s="19"/>
      <c r="AF74" s="19">
        <f>+S74/J74</f>
        <v>0</v>
      </c>
      <c r="AG74" s="19">
        <f t="shared" ref="AG74" si="104">+T74/K74</f>
        <v>0</v>
      </c>
      <c r="AH74" s="12"/>
      <c r="AI74" s="12"/>
      <c r="AJ74" s="18">
        <f t="shared" ref="AJ74" si="105">+I74-N74</f>
        <v>0</v>
      </c>
      <c r="AK74" s="18">
        <f t="shared" ref="AK74" si="106">+J74-O74</f>
        <v>0</v>
      </c>
      <c r="AL74" s="18">
        <f t="shared" ref="AL74" si="107">+K74-P74</f>
        <v>0</v>
      </c>
    </row>
    <row r="75" spans="1:41" x14ac:dyDescent="0.25">
      <c r="A75" s="29" t="s">
        <v>76</v>
      </c>
      <c r="B75" s="9"/>
      <c r="C75" s="30">
        <f>SUM(C69:C73)</f>
        <v>50024914</v>
      </c>
      <c r="D75" s="30">
        <f>SUM(D69:D73)</f>
        <v>37198761.200000003</v>
      </c>
      <c r="E75" s="30">
        <f>SUM(E69:E73)</f>
        <v>87223675.200000003</v>
      </c>
      <c r="F75" s="30"/>
      <c r="G75" s="30"/>
      <c r="H75" s="30"/>
      <c r="I75" s="30">
        <f>SUM(I69:I74)</f>
        <v>50424914</v>
      </c>
      <c r="J75" s="30">
        <f t="shared" ref="J75:K75" si="108">SUM(J69:J74)</f>
        <v>11484165.040000001</v>
      </c>
      <c r="K75" s="30">
        <f t="shared" si="108"/>
        <v>61909079.039999999</v>
      </c>
      <c r="L75" s="30">
        <f t="shared" ref="L75" si="109">SUM(L69:L74)</f>
        <v>-400000</v>
      </c>
      <c r="M75" s="30">
        <f t="shared" ref="M75" si="110">SUM(M69:M74)</f>
        <v>14848358.41</v>
      </c>
      <c r="N75" s="30">
        <f t="shared" ref="N75" si="111">SUM(N69:N74)</f>
        <v>50330031.410000011</v>
      </c>
      <c r="O75" s="30">
        <f t="shared" ref="O75" si="112">SUM(O69:O74)</f>
        <v>13599404.950000001</v>
      </c>
      <c r="P75" s="30">
        <f t="shared" ref="P75" si="113">SUM(P69:P74)</f>
        <v>63929436.360000007</v>
      </c>
      <c r="Q75" s="10">
        <f>SUM(Q69:Q72)</f>
        <v>0</v>
      </c>
      <c r="R75" s="30">
        <f>SUM(R69:R73)</f>
        <v>14142465.020000003</v>
      </c>
      <c r="S75" s="30">
        <f>SUM(S69:S73)</f>
        <v>8540407.1800000016</v>
      </c>
      <c r="T75" s="30">
        <f>SUM(T69:T73)</f>
        <v>22682872.200000003</v>
      </c>
      <c r="U75" s="9"/>
      <c r="Z75" s="32">
        <f>+N75/I75</f>
        <v>0.99811833908135195</v>
      </c>
      <c r="AA75" s="32">
        <f>+O75/J75</f>
        <v>1.1841875227874643</v>
      </c>
      <c r="AB75" s="32">
        <f t="shared" si="100"/>
        <v>1.0326342654636267</v>
      </c>
      <c r="AC75" s="12"/>
      <c r="AD75" s="12"/>
      <c r="AE75" s="31">
        <f>+R75/I75</f>
        <v>0.28046582330313946</v>
      </c>
      <c r="AF75" s="31">
        <f>+S75/J75</f>
        <v>0.743668098660484</v>
      </c>
      <c r="AG75" s="31">
        <f t="shared" si="101"/>
        <v>0.36639007641099619</v>
      </c>
      <c r="AH75" s="12"/>
      <c r="AI75" s="12"/>
      <c r="AJ75" s="30">
        <f t="shared" si="102"/>
        <v>94882.589999988675</v>
      </c>
      <c r="AK75" s="30">
        <f t="shared" si="102"/>
        <v>-2115239.91</v>
      </c>
      <c r="AL75" s="30">
        <f t="shared" si="102"/>
        <v>-2020357.3200000077</v>
      </c>
    </row>
    <row r="76" spans="1:41" x14ac:dyDescent="0.25">
      <c r="L76" s="10">
        <f t="shared" si="96"/>
        <v>0</v>
      </c>
      <c r="M76" s="10">
        <f t="shared" si="97"/>
        <v>0</v>
      </c>
      <c r="U76" s="9"/>
      <c r="AC76" s="12"/>
      <c r="AD76" s="12"/>
      <c r="AH76" s="12"/>
      <c r="AI76" s="12"/>
    </row>
    <row r="77" spans="1:41" ht="22.5" customHeight="1" x14ac:dyDescent="0.25">
      <c r="A77" s="13" t="s">
        <v>98</v>
      </c>
      <c r="B77" s="9"/>
      <c r="C77" s="165" t="s">
        <v>52</v>
      </c>
      <c r="D77" s="165"/>
      <c r="E77" s="165"/>
      <c r="F77" s="66"/>
      <c r="G77" s="66"/>
      <c r="H77" s="66"/>
      <c r="I77" s="165" t="s">
        <v>1</v>
      </c>
      <c r="J77" s="165"/>
      <c r="K77" s="165"/>
      <c r="L77" s="10"/>
      <c r="M77" s="10"/>
      <c r="N77" s="165" t="s">
        <v>2</v>
      </c>
      <c r="O77" s="165"/>
      <c r="P77" s="165"/>
      <c r="Q77" s="10"/>
      <c r="R77" s="165" t="s">
        <v>3</v>
      </c>
      <c r="S77" s="165"/>
      <c r="T77" s="165"/>
      <c r="U77" s="9"/>
      <c r="Z77" s="160" t="str">
        <f>+Z67</f>
        <v>Porcentaje de Avance Comprometido vs Radicado</v>
      </c>
      <c r="AA77" s="161"/>
      <c r="AB77" s="162"/>
      <c r="AC77" s="12"/>
      <c r="AD77" s="12"/>
      <c r="AE77" s="157" t="str">
        <f>+AE67</f>
        <v>Porcentaje de Avance Pagado vs Radicado</v>
      </c>
      <c r="AF77" s="158"/>
      <c r="AG77" s="159"/>
      <c r="AH77" s="12"/>
      <c r="AI77" s="12"/>
      <c r="AJ77" s="165" t="s">
        <v>89</v>
      </c>
      <c r="AK77" s="165"/>
      <c r="AL77" s="165"/>
      <c r="AO77" s="7">
        <f>+T72-'[1]ACUMULADO INVERSION 2016'!$Z$112</f>
        <v>5526364.4400000004</v>
      </c>
    </row>
    <row r="78" spans="1:41" x14ac:dyDescent="0.25">
      <c r="A78" s="14"/>
      <c r="B78" s="9"/>
      <c r="C78" s="15" t="s">
        <v>4</v>
      </c>
      <c r="D78" s="15" t="s">
        <v>5</v>
      </c>
      <c r="E78" s="15" t="s">
        <v>6</v>
      </c>
      <c r="F78" s="15"/>
      <c r="G78" s="15"/>
      <c r="H78" s="15"/>
      <c r="I78" s="15" t="s">
        <v>4</v>
      </c>
      <c r="J78" s="15" t="s">
        <v>5</v>
      </c>
      <c r="K78" s="15" t="s">
        <v>6</v>
      </c>
      <c r="L78" s="10"/>
      <c r="M78" s="10"/>
      <c r="N78" s="15" t="s">
        <v>4</v>
      </c>
      <c r="O78" s="15" t="s">
        <v>5</v>
      </c>
      <c r="P78" s="15" t="s">
        <v>6</v>
      </c>
      <c r="Q78" s="10"/>
      <c r="R78" s="15" t="s">
        <v>4</v>
      </c>
      <c r="S78" s="15" t="s">
        <v>5</v>
      </c>
      <c r="T78" s="15" t="s">
        <v>6</v>
      </c>
      <c r="U78" s="9"/>
      <c r="Z78" s="17" t="s">
        <v>4</v>
      </c>
      <c r="AA78" s="17" t="s">
        <v>5</v>
      </c>
      <c r="AB78" s="17" t="s">
        <v>6</v>
      </c>
      <c r="AC78" s="12"/>
      <c r="AD78" s="12"/>
      <c r="AE78" s="16" t="s">
        <v>4</v>
      </c>
      <c r="AF78" s="16" t="s">
        <v>5</v>
      </c>
      <c r="AG78" s="16" t="s">
        <v>6</v>
      </c>
      <c r="AH78" s="12"/>
      <c r="AI78" s="12"/>
      <c r="AJ78" s="15" t="s">
        <v>4</v>
      </c>
      <c r="AK78" s="15" t="s">
        <v>5</v>
      </c>
      <c r="AL78" s="15" t="s">
        <v>6</v>
      </c>
    </row>
    <row r="79" spans="1:41" ht="14.25" customHeight="1" x14ac:dyDescent="0.25">
      <c r="A79" s="4" t="s">
        <v>97</v>
      </c>
      <c r="B79" s="9"/>
      <c r="C79" s="18">
        <v>9000000</v>
      </c>
      <c r="D79" s="18">
        <v>3000000</v>
      </c>
      <c r="E79" s="18">
        <f t="shared" ref="E79" si="114">+D79+C79</f>
        <v>12000000</v>
      </c>
      <c r="F79" s="18"/>
      <c r="G79" s="18"/>
      <c r="H79" s="18"/>
      <c r="I79" s="18">
        <v>9000000</v>
      </c>
      <c r="J79" s="18">
        <v>0</v>
      </c>
      <c r="K79" s="18">
        <f t="shared" ref="K79" si="115">+J79+I79</f>
        <v>9000000</v>
      </c>
      <c r="L79" s="10">
        <f t="shared" ref="L79" si="116">+C79-I79</f>
        <v>0</v>
      </c>
      <c r="M79" s="10">
        <f t="shared" ref="M79" si="117">+D79-J79</f>
        <v>3000000</v>
      </c>
      <c r="N79" s="18">
        <v>0</v>
      </c>
      <c r="O79" s="18">
        <v>0</v>
      </c>
      <c r="P79" s="18">
        <f t="shared" ref="P79" si="118">+O79+N79</f>
        <v>0</v>
      </c>
      <c r="Q79" s="10"/>
      <c r="R79" s="18">
        <v>0</v>
      </c>
      <c r="S79" s="18">
        <v>0</v>
      </c>
      <c r="T79" s="18">
        <f t="shared" ref="T79" si="119">+S79+R79</f>
        <v>0</v>
      </c>
      <c r="U79" s="9"/>
      <c r="Z79" s="20"/>
      <c r="AA79" s="20"/>
      <c r="AB79" s="20"/>
      <c r="AC79" s="12"/>
      <c r="AD79" s="12"/>
      <c r="AE79" s="19"/>
      <c r="AF79" s="19"/>
      <c r="AG79" s="19"/>
      <c r="AH79" s="12"/>
      <c r="AI79" s="12"/>
      <c r="AJ79" s="18">
        <f t="shared" ref="AJ79" si="120">+I79-N79</f>
        <v>9000000</v>
      </c>
      <c r="AK79" s="18">
        <f t="shared" ref="AK79" si="121">+J79-O79</f>
        <v>0</v>
      </c>
      <c r="AL79" s="18">
        <f t="shared" ref="AL79" si="122">+K79-P79</f>
        <v>9000000</v>
      </c>
    </row>
    <row r="80" spans="1:41" x14ac:dyDescent="0.25">
      <c r="L80" s="10"/>
      <c r="M80" s="10"/>
      <c r="U80" s="9"/>
      <c r="AC80" s="12"/>
      <c r="AD80" s="12"/>
      <c r="AH80" s="12"/>
      <c r="AI80" s="12"/>
    </row>
    <row r="81" spans="3:35" hidden="1" x14ac:dyDescent="0.25">
      <c r="L81" s="10">
        <f t="shared" si="96"/>
        <v>0</v>
      </c>
      <c r="M81" s="10">
        <f t="shared" si="97"/>
        <v>0</v>
      </c>
      <c r="U81" s="9"/>
      <c r="Z81" s="50" t="e">
        <f t="shared" ref="Z81:Z111" si="123">+N81/I81</f>
        <v>#DIV/0!</v>
      </c>
      <c r="AA81" s="50" t="e">
        <f t="shared" ref="AA81:AA111" si="124">+O81/J81</f>
        <v>#DIV/0!</v>
      </c>
      <c r="AB81" s="50" t="e">
        <f t="shared" ref="AB81:AB111" si="125">+P81/K81</f>
        <v>#DIV/0!</v>
      </c>
      <c r="AC81" s="12"/>
      <c r="AD81" s="12"/>
      <c r="AH81" s="12"/>
      <c r="AI81" s="12"/>
    </row>
    <row r="82" spans="3:35" hidden="1" x14ac:dyDescent="0.25">
      <c r="C82" s="21">
        <v>62320000</v>
      </c>
      <c r="D82" s="21">
        <v>31160000</v>
      </c>
      <c r="L82" s="10">
        <f t="shared" si="96"/>
        <v>62320000</v>
      </c>
      <c r="M82" s="10">
        <f t="shared" si="97"/>
        <v>31160000</v>
      </c>
      <c r="U82" s="9"/>
      <c r="Z82" s="50" t="e">
        <f t="shared" si="123"/>
        <v>#DIV/0!</v>
      </c>
      <c r="AA82" s="50" t="e">
        <f t="shared" si="124"/>
        <v>#DIV/0!</v>
      </c>
      <c r="AB82" s="50" t="e">
        <f t="shared" si="125"/>
        <v>#DIV/0!</v>
      </c>
      <c r="AC82" s="12"/>
      <c r="AD82" s="12"/>
      <c r="AH82" s="12"/>
      <c r="AI82" s="12"/>
    </row>
    <row r="83" spans="3:35" hidden="1" x14ac:dyDescent="0.25">
      <c r="C83" s="21">
        <v>65600000</v>
      </c>
      <c r="D83" s="21">
        <v>32800000</v>
      </c>
      <c r="I83" s="21" t="s">
        <v>51</v>
      </c>
      <c r="J83" s="21">
        <v>6.4929075738125799E-2</v>
      </c>
      <c r="K83" s="21">
        <v>0.67682926829268297</v>
      </c>
      <c r="L83" s="10" t="e">
        <f t="shared" si="96"/>
        <v>#VALUE!</v>
      </c>
      <c r="M83" s="10">
        <f t="shared" si="97"/>
        <v>32799999.935070924</v>
      </c>
      <c r="O83" s="21">
        <f>+D90*J83</f>
        <v>212967.36842105258</v>
      </c>
      <c r="P83" s="21">
        <f>+E90*K83</f>
        <v>1110000</v>
      </c>
      <c r="U83" s="9"/>
      <c r="Z83" s="50" t="e">
        <f t="shared" si="123"/>
        <v>#VALUE!</v>
      </c>
      <c r="AA83" s="50">
        <f t="shared" si="124"/>
        <v>3279999.9999999995</v>
      </c>
      <c r="AB83" s="50">
        <f t="shared" si="125"/>
        <v>1640000</v>
      </c>
      <c r="AC83" s="12"/>
      <c r="AD83" s="12"/>
      <c r="AH83" s="12"/>
      <c r="AI83" s="12"/>
    </row>
    <row r="84" spans="3:35" hidden="1" x14ac:dyDescent="0.25">
      <c r="I84" s="21" t="s">
        <v>50</v>
      </c>
      <c r="J84" s="21">
        <v>7.1245186136071892E-2</v>
      </c>
      <c r="K84" s="21">
        <v>0</v>
      </c>
      <c r="L84" s="10" t="e">
        <f t="shared" si="96"/>
        <v>#VALUE!</v>
      </c>
      <c r="M84" s="10">
        <f t="shared" si="97"/>
        <v>-7.1245186136071892E-2</v>
      </c>
      <c r="O84" s="21">
        <f>+D90*J84</f>
        <v>233684.21052631579</v>
      </c>
      <c r="P84" s="21">
        <f>+E90*K84</f>
        <v>0</v>
      </c>
      <c r="U84" s="9"/>
      <c r="Z84" s="50" t="e">
        <f t="shared" si="123"/>
        <v>#VALUE!</v>
      </c>
      <c r="AA84" s="50">
        <f t="shared" si="124"/>
        <v>3279999.9999999995</v>
      </c>
      <c r="AB84" s="50" t="e">
        <f t="shared" si="125"/>
        <v>#DIV/0!</v>
      </c>
      <c r="AC84" s="12"/>
      <c r="AD84" s="12"/>
      <c r="AH84" s="12"/>
      <c r="AI84" s="12"/>
    </row>
    <row r="85" spans="3:35" hidden="1" x14ac:dyDescent="0.25">
      <c r="C85" s="21">
        <v>3.4499999999999996E-2</v>
      </c>
      <c r="D85" s="21">
        <f>+$C$83*C85</f>
        <v>2263199.9999999995</v>
      </c>
      <c r="E85" s="21">
        <f>+$D$83*C85</f>
        <v>1131599.9999999998</v>
      </c>
      <c r="I85" s="21" t="s">
        <v>49</v>
      </c>
      <c r="J85" s="21">
        <v>0.86382573812580232</v>
      </c>
      <c r="K85" s="21">
        <v>0.32317073170731708</v>
      </c>
      <c r="L85" s="10" t="e">
        <f t="shared" si="96"/>
        <v>#VALUE!</v>
      </c>
      <c r="M85" s="10">
        <f t="shared" si="97"/>
        <v>2263199.1361742616</v>
      </c>
      <c r="O85" s="21">
        <f>+D90*J85</f>
        <v>2833348.421052631</v>
      </c>
      <c r="P85" s="21">
        <f>+E90*K85</f>
        <v>529999.99999999988</v>
      </c>
      <c r="U85" s="9"/>
      <c r="Z85" s="50" t="e">
        <f t="shared" si="123"/>
        <v>#VALUE!</v>
      </c>
      <c r="AA85" s="50">
        <f t="shared" si="124"/>
        <v>3279999.9999999991</v>
      </c>
      <c r="AB85" s="50">
        <f t="shared" si="125"/>
        <v>1639999.9999999995</v>
      </c>
      <c r="AC85" s="12"/>
      <c r="AD85" s="12"/>
      <c r="AH85" s="12"/>
      <c r="AI85" s="12"/>
    </row>
    <row r="86" spans="3:35" hidden="1" x14ac:dyDescent="0.25">
      <c r="C86" s="21">
        <v>2.5000000000000001E-3</v>
      </c>
      <c r="D86" s="21">
        <f t="shared" ref="D86:D89" si="126">+$C$83*C86</f>
        <v>164000</v>
      </c>
      <c r="E86" s="21">
        <f t="shared" ref="E86:E89" si="127">+$D$83*C86</f>
        <v>82000</v>
      </c>
      <c r="L86" s="10">
        <f t="shared" si="96"/>
        <v>2.5000000000000001E-3</v>
      </c>
      <c r="M86" s="10">
        <f t="shared" si="97"/>
        <v>164000</v>
      </c>
      <c r="O86" s="21">
        <f>+D93*J86</f>
        <v>0</v>
      </c>
      <c r="U86" s="9"/>
      <c r="Z86" s="50" t="e">
        <f t="shared" si="123"/>
        <v>#DIV/0!</v>
      </c>
      <c r="AA86" s="50" t="e">
        <f t="shared" si="124"/>
        <v>#DIV/0!</v>
      </c>
      <c r="AB86" s="50" t="e">
        <f t="shared" si="125"/>
        <v>#DIV/0!</v>
      </c>
      <c r="AC86" s="12"/>
      <c r="AD86" s="12"/>
      <c r="AH86" s="12"/>
      <c r="AI86" s="12"/>
    </row>
    <row r="87" spans="3:35" hidden="1" x14ac:dyDescent="0.25">
      <c r="C87" s="21">
        <v>6.4999999999999997E-3</v>
      </c>
      <c r="D87" s="21">
        <f t="shared" si="126"/>
        <v>426400</v>
      </c>
      <c r="E87" s="21">
        <f t="shared" si="127"/>
        <v>213200</v>
      </c>
      <c r="L87" s="10">
        <f t="shared" si="96"/>
        <v>6.4999999999999997E-3</v>
      </c>
      <c r="M87" s="10">
        <f t="shared" si="97"/>
        <v>426400</v>
      </c>
      <c r="U87" s="9"/>
      <c r="Z87" s="50" t="e">
        <f t="shared" si="123"/>
        <v>#DIV/0!</v>
      </c>
      <c r="AA87" s="50" t="e">
        <f t="shared" si="124"/>
        <v>#DIV/0!</v>
      </c>
      <c r="AB87" s="50" t="e">
        <f t="shared" si="125"/>
        <v>#DIV/0!</v>
      </c>
      <c r="AC87" s="12"/>
      <c r="AD87" s="12"/>
      <c r="AH87" s="12"/>
      <c r="AI87" s="12"/>
    </row>
    <row r="88" spans="3:35" hidden="1" x14ac:dyDescent="0.25">
      <c r="C88" s="21">
        <v>3.0000000000000001E-3</v>
      </c>
      <c r="D88" s="21">
        <f t="shared" si="126"/>
        <v>196800</v>
      </c>
      <c r="E88" s="21">
        <f t="shared" si="127"/>
        <v>98400</v>
      </c>
      <c r="L88" s="10">
        <f t="shared" si="96"/>
        <v>3.0000000000000001E-3</v>
      </c>
      <c r="M88" s="10">
        <f t="shared" si="97"/>
        <v>196800</v>
      </c>
      <c r="U88" s="9"/>
      <c r="Z88" s="50" t="e">
        <f t="shared" si="123"/>
        <v>#DIV/0!</v>
      </c>
      <c r="AA88" s="50" t="e">
        <f t="shared" si="124"/>
        <v>#DIV/0!</v>
      </c>
      <c r="AB88" s="50" t="e">
        <f t="shared" si="125"/>
        <v>#DIV/0!</v>
      </c>
      <c r="AC88" s="12"/>
      <c r="AD88" s="12"/>
      <c r="AH88" s="12"/>
      <c r="AI88" s="12"/>
    </row>
    <row r="89" spans="3:35" hidden="1" x14ac:dyDescent="0.25">
      <c r="C89" s="21">
        <v>3.5000000000000001E-3</v>
      </c>
      <c r="D89" s="21">
        <f t="shared" si="126"/>
        <v>229600</v>
      </c>
      <c r="E89" s="21">
        <f t="shared" si="127"/>
        <v>114800</v>
      </c>
      <c r="J89" s="21">
        <f>+D85*$J$85</f>
        <v>1955010.4105263154</v>
      </c>
      <c r="K89" s="21">
        <f>+E85*$K$85</f>
        <v>365699.99999999994</v>
      </c>
      <c r="L89" s="10">
        <f t="shared" si="96"/>
        <v>3.5000000000000001E-3</v>
      </c>
      <c r="M89" s="10">
        <f t="shared" si="97"/>
        <v>-1725410.4105263154</v>
      </c>
      <c r="U89" s="9"/>
      <c r="Z89" s="50" t="e">
        <f t="shared" si="123"/>
        <v>#DIV/0!</v>
      </c>
      <c r="AA89" s="50">
        <f t="shared" si="124"/>
        <v>0</v>
      </c>
      <c r="AB89" s="50">
        <f t="shared" si="125"/>
        <v>0</v>
      </c>
      <c r="AC89" s="12"/>
      <c r="AD89" s="12"/>
      <c r="AH89" s="12"/>
      <c r="AI89" s="12"/>
    </row>
    <row r="90" spans="3:35" hidden="1" x14ac:dyDescent="0.25">
      <c r="D90" s="21">
        <f t="shared" ref="D90:E90" si="128">SUM(D85:D89)</f>
        <v>3279999.9999999995</v>
      </c>
      <c r="E90" s="21">
        <f t="shared" si="128"/>
        <v>1639999.9999999998</v>
      </c>
      <c r="J90" s="21">
        <f>+D86*$J$85</f>
        <v>141667.42105263157</v>
      </c>
      <c r="K90" s="21">
        <f>+E86*$K$85</f>
        <v>26500</v>
      </c>
      <c r="L90" s="10">
        <f t="shared" si="96"/>
        <v>0</v>
      </c>
      <c r="M90" s="10">
        <f t="shared" si="97"/>
        <v>3138332.5789473681</v>
      </c>
      <c r="U90" s="9"/>
      <c r="Z90" s="50" t="e">
        <f t="shared" si="123"/>
        <v>#DIV/0!</v>
      </c>
      <c r="AA90" s="50">
        <f t="shared" si="124"/>
        <v>0</v>
      </c>
      <c r="AB90" s="50">
        <f t="shared" si="125"/>
        <v>0</v>
      </c>
      <c r="AC90" s="12"/>
      <c r="AD90" s="12"/>
      <c r="AH90" s="12"/>
      <c r="AI90" s="12"/>
    </row>
    <row r="91" spans="3:35" hidden="1" x14ac:dyDescent="0.25">
      <c r="J91" s="21">
        <f>+D87*$J$85</f>
        <v>368335.2947368421</v>
      </c>
      <c r="K91" s="21">
        <f>+E87*$K$85</f>
        <v>68900</v>
      </c>
      <c r="L91" s="10">
        <f t="shared" si="96"/>
        <v>0</v>
      </c>
      <c r="M91" s="10">
        <f t="shared" si="97"/>
        <v>-368335.2947368421</v>
      </c>
      <c r="U91" s="9"/>
      <c r="Z91" s="50" t="e">
        <f t="shared" si="123"/>
        <v>#DIV/0!</v>
      </c>
      <c r="AA91" s="50">
        <f t="shared" si="124"/>
        <v>0</v>
      </c>
      <c r="AB91" s="50">
        <f t="shared" si="125"/>
        <v>0</v>
      </c>
      <c r="AC91" s="12"/>
      <c r="AD91" s="12"/>
      <c r="AH91" s="12"/>
      <c r="AI91" s="12"/>
    </row>
    <row r="92" spans="3:35" hidden="1" x14ac:dyDescent="0.25">
      <c r="J92" s="21">
        <f>+D88*$J$85</f>
        <v>170000.90526315791</v>
      </c>
      <c r="K92" s="21">
        <f>+E88*$K$85</f>
        <v>31800</v>
      </c>
      <c r="L92" s="10">
        <f t="shared" si="96"/>
        <v>0</v>
      </c>
      <c r="M92" s="10">
        <f t="shared" si="97"/>
        <v>-170000.90526315791</v>
      </c>
      <c r="U92" s="9"/>
      <c r="Z92" s="50" t="e">
        <f t="shared" si="123"/>
        <v>#DIV/0!</v>
      </c>
      <c r="AA92" s="50">
        <f t="shared" si="124"/>
        <v>0</v>
      </c>
      <c r="AB92" s="50">
        <f t="shared" si="125"/>
        <v>0</v>
      </c>
      <c r="AC92" s="12"/>
      <c r="AD92" s="12"/>
      <c r="AH92" s="12"/>
      <c r="AI92" s="12"/>
    </row>
    <row r="93" spans="3:35" hidden="1" x14ac:dyDescent="0.25">
      <c r="J93" s="21">
        <f>+D89*$J$85</f>
        <v>198334.38947368422</v>
      </c>
      <c r="K93" s="21">
        <f>+E89*$K$85</f>
        <v>37100</v>
      </c>
      <c r="L93" s="10">
        <f t="shared" si="96"/>
        <v>0</v>
      </c>
      <c r="M93" s="10">
        <f t="shared" si="97"/>
        <v>-198334.38947368422</v>
      </c>
      <c r="U93" s="9"/>
      <c r="Z93" s="50" t="e">
        <f t="shared" si="123"/>
        <v>#DIV/0!</v>
      </c>
      <c r="AA93" s="50">
        <f t="shared" si="124"/>
        <v>0</v>
      </c>
      <c r="AB93" s="50">
        <f t="shared" si="125"/>
        <v>0</v>
      </c>
      <c r="AC93" s="12"/>
      <c r="AD93" s="12"/>
      <c r="AH93" s="12"/>
      <c r="AI93" s="12"/>
    </row>
    <row r="94" spans="3:35" hidden="1" x14ac:dyDescent="0.25">
      <c r="L94" s="10">
        <f t="shared" si="96"/>
        <v>0</v>
      </c>
      <c r="M94" s="10">
        <f t="shared" si="97"/>
        <v>0</v>
      </c>
      <c r="U94" s="9"/>
      <c r="Z94" s="50" t="e">
        <f t="shared" si="123"/>
        <v>#DIV/0!</v>
      </c>
      <c r="AA94" s="50" t="e">
        <f t="shared" si="124"/>
        <v>#DIV/0!</v>
      </c>
      <c r="AB94" s="50" t="e">
        <f t="shared" si="125"/>
        <v>#DIV/0!</v>
      </c>
      <c r="AC94" s="12"/>
      <c r="AD94" s="12"/>
      <c r="AH94" s="12"/>
      <c r="AI94" s="12"/>
    </row>
    <row r="95" spans="3:35" hidden="1" x14ac:dyDescent="0.25">
      <c r="L95" s="10">
        <f t="shared" si="96"/>
        <v>0</v>
      </c>
      <c r="M95" s="10">
        <f t="shared" si="97"/>
        <v>0</v>
      </c>
      <c r="U95" s="9"/>
      <c r="Z95" s="50" t="e">
        <f t="shared" si="123"/>
        <v>#DIV/0!</v>
      </c>
      <c r="AA95" s="50" t="e">
        <f t="shared" si="124"/>
        <v>#DIV/0!</v>
      </c>
      <c r="AB95" s="50" t="e">
        <f t="shared" si="125"/>
        <v>#DIV/0!</v>
      </c>
      <c r="AC95" s="12"/>
      <c r="AD95" s="12"/>
      <c r="AH95" s="12"/>
      <c r="AI95" s="12"/>
    </row>
    <row r="96" spans="3:35" hidden="1" x14ac:dyDescent="0.25">
      <c r="L96" s="10">
        <f t="shared" si="96"/>
        <v>0</v>
      </c>
      <c r="M96" s="10">
        <f t="shared" si="97"/>
        <v>0</v>
      </c>
      <c r="U96" s="9"/>
      <c r="Z96" s="50" t="e">
        <f t="shared" si="123"/>
        <v>#DIV/0!</v>
      </c>
      <c r="AA96" s="50" t="e">
        <f t="shared" si="124"/>
        <v>#DIV/0!</v>
      </c>
      <c r="AB96" s="50" t="e">
        <f t="shared" si="125"/>
        <v>#DIV/0!</v>
      </c>
      <c r="AC96" s="12"/>
      <c r="AD96" s="12"/>
      <c r="AH96" s="12"/>
      <c r="AI96" s="12"/>
    </row>
    <row r="97" spans="3:35" hidden="1" x14ac:dyDescent="0.25">
      <c r="L97" s="10">
        <f t="shared" si="96"/>
        <v>0</v>
      </c>
      <c r="M97" s="10">
        <f t="shared" si="97"/>
        <v>0</v>
      </c>
      <c r="U97" s="9"/>
      <c r="Z97" s="50" t="e">
        <f t="shared" si="123"/>
        <v>#DIV/0!</v>
      </c>
      <c r="AA97" s="50" t="e">
        <f t="shared" si="124"/>
        <v>#DIV/0!</v>
      </c>
      <c r="AB97" s="50" t="e">
        <f t="shared" si="125"/>
        <v>#DIV/0!</v>
      </c>
      <c r="AC97" s="12"/>
      <c r="AD97" s="12"/>
      <c r="AH97" s="12"/>
      <c r="AI97" s="12"/>
    </row>
    <row r="98" spans="3:35" hidden="1" x14ac:dyDescent="0.25">
      <c r="L98" s="10">
        <f t="shared" si="96"/>
        <v>0</v>
      </c>
      <c r="M98" s="10">
        <f t="shared" si="97"/>
        <v>0</v>
      </c>
      <c r="U98" s="9"/>
      <c r="Z98" s="50" t="e">
        <f t="shared" si="123"/>
        <v>#DIV/0!</v>
      </c>
      <c r="AA98" s="50" t="e">
        <f t="shared" si="124"/>
        <v>#DIV/0!</v>
      </c>
      <c r="AB98" s="50" t="e">
        <f t="shared" si="125"/>
        <v>#DIV/0!</v>
      </c>
      <c r="AC98" s="12"/>
      <c r="AD98" s="12"/>
      <c r="AH98" s="12"/>
      <c r="AI98" s="12"/>
    </row>
    <row r="99" spans="3:35" hidden="1" x14ac:dyDescent="0.25">
      <c r="L99" s="10">
        <f t="shared" si="96"/>
        <v>0</v>
      </c>
      <c r="M99" s="10">
        <f t="shared" si="97"/>
        <v>0</v>
      </c>
      <c r="U99" s="9"/>
      <c r="Z99" s="50" t="e">
        <f t="shared" si="123"/>
        <v>#DIV/0!</v>
      </c>
      <c r="AA99" s="50" t="e">
        <f t="shared" si="124"/>
        <v>#DIV/0!</v>
      </c>
      <c r="AB99" s="50" t="e">
        <f t="shared" si="125"/>
        <v>#DIV/0!</v>
      </c>
      <c r="AC99" s="12"/>
      <c r="AD99" s="12"/>
      <c r="AH99" s="12"/>
      <c r="AI99" s="12"/>
    </row>
    <row r="100" spans="3:35" hidden="1" x14ac:dyDescent="0.25">
      <c r="L100" s="10">
        <f t="shared" si="96"/>
        <v>0</v>
      </c>
      <c r="M100" s="10">
        <f t="shared" si="97"/>
        <v>0</v>
      </c>
      <c r="U100" s="9"/>
      <c r="Z100" s="50" t="e">
        <f t="shared" si="123"/>
        <v>#DIV/0!</v>
      </c>
      <c r="AA100" s="50" t="e">
        <f t="shared" si="124"/>
        <v>#DIV/0!</v>
      </c>
      <c r="AB100" s="50" t="e">
        <f t="shared" si="125"/>
        <v>#DIV/0!</v>
      </c>
      <c r="AC100" s="12"/>
      <c r="AD100" s="12"/>
      <c r="AH100" s="12"/>
      <c r="AI100" s="12"/>
    </row>
    <row r="101" spans="3:35" hidden="1" x14ac:dyDescent="0.25">
      <c r="L101" s="10">
        <f t="shared" si="96"/>
        <v>0</v>
      </c>
      <c r="M101" s="10">
        <f t="shared" si="97"/>
        <v>0</v>
      </c>
      <c r="U101" s="9"/>
      <c r="Z101" s="50" t="e">
        <f t="shared" si="123"/>
        <v>#DIV/0!</v>
      </c>
      <c r="AA101" s="50" t="e">
        <f t="shared" si="124"/>
        <v>#DIV/0!</v>
      </c>
      <c r="AB101" s="50" t="e">
        <f t="shared" si="125"/>
        <v>#DIV/0!</v>
      </c>
      <c r="AC101" s="12"/>
      <c r="AD101" s="12"/>
      <c r="AH101" s="12"/>
      <c r="AI101" s="12"/>
    </row>
    <row r="102" spans="3:35" hidden="1" x14ac:dyDescent="0.25">
      <c r="L102" s="10">
        <f t="shared" si="96"/>
        <v>0</v>
      </c>
      <c r="M102" s="10">
        <f t="shared" si="97"/>
        <v>0</v>
      </c>
      <c r="U102" s="9"/>
      <c r="Z102" s="50" t="e">
        <f t="shared" si="123"/>
        <v>#DIV/0!</v>
      </c>
      <c r="AA102" s="50" t="e">
        <f t="shared" si="124"/>
        <v>#DIV/0!</v>
      </c>
      <c r="AB102" s="50" t="e">
        <f t="shared" si="125"/>
        <v>#DIV/0!</v>
      </c>
      <c r="AC102" s="12"/>
      <c r="AD102" s="12"/>
      <c r="AH102" s="12"/>
      <c r="AI102" s="12"/>
    </row>
    <row r="103" spans="3:35" hidden="1" x14ac:dyDescent="0.25">
      <c r="L103" s="10">
        <f t="shared" si="96"/>
        <v>0</v>
      </c>
      <c r="M103" s="10">
        <f t="shared" si="97"/>
        <v>0</v>
      </c>
      <c r="U103" s="9"/>
      <c r="Z103" s="50" t="e">
        <f t="shared" si="123"/>
        <v>#DIV/0!</v>
      </c>
      <c r="AA103" s="50" t="e">
        <f t="shared" si="124"/>
        <v>#DIV/0!</v>
      </c>
      <c r="AB103" s="50" t="e">
        <f t="shared" si="125"/>
        <v>#DIV/0!</v>
      </c>
      <c r="AC103" s="12"/>
      <c r="AD103" s="12"/>
      <c r="AH103" s="12"/>
      <c r="AI103" s="12"/>
    </row>
    <row r="104" spans="3:35" hidden="1" x14ac:dyDescent="0.25">
      <c r="L104" s="10">
        <f t="shared" si="96"/>
        <v>0</v>
      </c>
      <c r="M104" s="10">
        <f t="shared" si="97"/>
        <v>0</v>
      </c>
      <c r="U104" s="9"/>
      <c r="Z104" s="50" t="e">
        <f t="shared" si="123"/>
        <v>#DIV/0!</v>
      </c>
      <c r="AA104" s="50" t="e">
        <f t="shared" si="124"/>
        <v>#DIV/0!</v>
      </c>
      <c r="AB104" s="50" t="e">
        <f t="shared" si="125"/>
        <v>#DIV/0!</v>
      </c>
      <c r="AC104" s="12"/>
      <c r="AD104" s="12"/>
      <c r="AH104" s="12"/>
      <c r="AI104" s="12"/>
    </row>
    <row r="105" spans="3:35" hidden="1" x14ac:dyDescent="0.25">
      <c r="L105" s="10">
        <f t="shared" si="96"/>
        <v>0</v>
      </c>
      <c r="M105" s="10">
        <f t="shared" si="97"/>
        <v>0</v>
      </c>
      <c r="U105" s="9"/>
      <c r="Z105" s="50" t="e">
        <f t="shared" si="123"/>
        <v>#DIV/0!</v>
      </c>
      <c r="AA105" s="50" t="e">
        <f t="shared" si="124"/>
        <v>#DIV/0!</v>
      </c>
      <c r="AB105" s="50" t="e">
        <f t="shared" si="125"/>
        <v>#DIV/0!</v>
      </c>
      <c r="AC105" s="12"/>
      <c r="AD105" s="12"/>
      <c r="AH105" s="12"/>
      <c r="AI105" s="12"/>
    </row>
    <row r="106" spans="3:35" hidden="1" x14ac:dyDescent="0.25">
      <c r="L106" s="10">
        <f t="shared" si="96"/>
        <v>0</v>
      </c>
      <c r="M106" s="10">
        <f t="shared" si="97"/>
        <v>0</v>
      </c>
      <c r="U106" s="9"/>
      <c r="Z106" s="50" t="e">
        <f t="shared" si="123"/>
        <v>#DIV/0!</v>
      </c>
      <c r="AA106" s="50" t="e">
        <f t="shared" si="124"/>
        <v>#DIV/0!</v>
      </c>
      <c r="AB106" s="50" t="e">
        <f t="shared" si="125"/>
        <v>#DIV/0!</v>
      </c>
      <c r="AC106" s="12"/>
      <c r="AD106" s="12"/>
      <c r="AH106" s="12"/>
      <c r="AI106" s="12"/>
    </row>
    <row r="107" spans="3:35" ht="30" hidden="1" x14ac:dyDescent="0.25">
      <c r="L107" s="10">
        <f t="shared" ref="L107:L138" si="129">+C107-I107</f>
        <v>0</v>
      </c>
      <c r="M107" s="10">
        <f t="shared" ref="M107:M138" si="130">+D107-J107</f>
        <v>0</v>
      </c>
      <c r="P107" s="51" t="s">
        <v>8</v>
      </c>
      <c r="R107" s="21" t="e">
        <f>+R9+R13+R17+R22+R27+#REF!+#REF!+#REF!+R47+R50+R54+R58</f>
        <v>#REF!</v>
      </c>
      <c r="S107" s="21" t="e">
        <f>+S9+S13+S17+S22+S27+#REF!+#REF!+#REF!+S47+S50+S54+S58</f>
        <v>#REF!</v>
      </c>
      <c r="T107" s="21" t="e">
        <f>+T9+T13+T17+T22+T27+#REF!+#REF!+#REF!+T47+T50+T54+T58</f>
        <v>#REF!</v>
      </c>
      <c r="U107" s="9"/>
      <c r="Z107" s="50" t="e">
        <f t="shared" si="123"/>
        <v>#DIV/0!</v>
      </c>
      <c r="AA107" s="50" t="e">
        <f t="shared" si="124"/>
        <v>#DIV/0!</v>
      </c>
      <c r="AB107" s="50" t="e">
        <f t="shared" si="125"/>
        <v>#VALUE!</v>
      </c>
      <c r="AC107" s="12"/>
      <c r="AD107" s="12"/>
      <c r="AH107" s="12"/>
      <c r="AI107" s="12"/>
    </row>
    <row r="108" spans="3:35" ht="30" hidden="1" x14ac:dyDescent="0.25">
      <c r="C108" s="21">
        <v>65600000</v>
      </c>
      <c r="D108" s="21">
        <v>32800000</v>
      </c>
      <c r="L108" s="10">
        <f t="shared" si="129"/>
        <v>65600000</v>
      </c>
      <c r="M108" s="10">
        <f t="shared" si="130"/>
        <v>32800000</v>
      </c>
      <c r="P108" s="51" t="s">
        <v>12</v>
      </c>
      <c r="R108" s="21" t="e">
        <f>+R23+R28+#REF!+#REF!+#REF!+#REF!+R55+R59</f>
        <v>#REF!</v>
      </c>
      <c r="S108" s="21" t="e">
        <f>+S23+S28+#REF!+#REF!+#REF!+#REF!+S55+S59</f>
        <v>#REF!</v>
      </c>
      <c r="T108" s="21" t="e">
        <f>+T23+T28+#REF!+#REF!+#REF!+#REF!+T55+T59</f>
        <v>#REF!</v>
      </c>
      <c r="U108" s="9"/>
      <c r="Z108" s="50" t="e">
        <f t="shared" si="123"/>
        <v>#DIV/0!</v>
      </c>
      <c r="AA108" s="50" t="e">
        <f t="shared" si="124"/>
        <v>#DIV/0!</v>
      </c>
      <c r="AB108" s="50" t="e">
        <f t="shared" si="125"/>
        <v>#VALUE!</v>
      </c>
      <c r="AC108" s="12"/>
      <c r="AD108" s="12"/>
      <c r="AH108" s="12"/>
      <c r="AI108" s="12"/>
    </row>
    <row r="109" spans="3:35" ht="30" hidden="1" x14ac:dyDescent="0.25">
      <c r="C109" s="21">
        <v>53833620</v>
      </c>
      <c r="D109" s="21">
        <v>10070000</v>
      </c>
      <c r="L109" s="10">
        <f t="shared" si="129"/>
        <v>53833620</v>
      </c>
      <c r="M109" s="10">
        <f t="shared" si="130"/>
        <v>10070000</v>
      </c>
      <c r="P109" s="51" t="s">
        <v>9</v>
      </c>
      <c r="R109" s="21" t="e">
        <f>+R10+R14+R18+R24+R30+#REF!+#REF!+#REF!+#REF!+#REF!+#REF!</f>
        <v>#REF!</v>
      </c>
      <c r="S109" s="21" t="e">
        <f>+S10+S14+S18+S24+S30+#REF!+#REF!+#REF!+#REF!+#REF!+#REF!</f>
        <v>#REF!</v>
      </c>
      <c r="T109" s="21" t="e">
        <f>+T10+T14+T18+T24+T30+#REF!+#REF!+#REF!+#REF!+#REF!+#REF!</f>
        <v>#REF!</v>
      </c>
      <c r="U109" s="9"/>
      <c r="Z109" s="50" t="e">
        <f t="shared" si="123"/>
        <v>#DIV/0!</v>
      </c>
      <c r="AA109" s="50" t="e">
        <f t="shared" si="124"/>
        <v>#DIV/0!</v>
      </c>
      <c r="AB109" s="50" t="e">
        <f t="shared" si="125"/>
        <v>#VALUE!</v>
      </c>
      <c r="AC109" s="12"/>
      <c r="AD109" s="12"/>
      <c r="AH109" s="12"/>
      <c r="AI109" s="12"/>
    </row>
    <row r="110" spans="3:35" hidden="1" x14ac:dyDescent="0.25">
      <c r="C110" s="21">
        <v>4440000</v>
      </c>
      <c r="D110" s="21">
        <v>0</v>
      </c>
      <c r="L110" s="10">
        <f t="shared" si="129"/>
        <v>4440000</v>
      </c>
      <c r="M110" s="10">
        <f t="shared" si="130"/>
        <v>0</v>
      </c>
      <c r="P110" s="51" t="s">
        <v>13</v>
      </c>
      <c r="R110" s="21" t="e">
        <f>+#REF!+R29+#REF!+#REF!+#REF!+R51+#REF!+#REF!</f>
        <v>#REF!</v>
      </c>
      <c r="S110" s="21" t="e">
        <f>+#REF!+S29+#REF!+#REF!+#REF!+S51+#REF!+#REF!</f>
        <v>#REF!</v>
      </c>
      <c r="T110" s="21" t="e">
        <f>+#REF!+T29+#REF!+#REF!+#REF!+T51+#REF!+#REF!</f>
        <v>#REF!</v>
      </c>
      <c r="U110" s="9"/>
      <c r="Z110" s="50" t="e">
        <f t="shared" si="123"/>
        <v>#DIV/0!</v>
      </c>
      <c r="AA110" s="50" t="e">
        <f t="shared" si="124"/>
        <v>#DIV/0!</v>
      </c>
      <c r="AB110" s="50" t="e">
        <f t="shared" si="125"/>
        <v>#VALUE!</v>
      </c>
      <c r="AC110" s="12"/>
      <c r="AD110" s="12"/>
      <c r="AH110" s="12"/>
      <c r="AI110" s="12"/>
    </row>
    <row r="111" spans="3:35" ht="30" hidden="1" x14ac:dyDescent="0.25">
      <c r="C111" s="21">
        <v>4046380</v>
      </c>
      <c r="D111" s="21">
        <v>21090000</v>
      </c>
      <c r="L111" s="10">
        <f t="shared" si="129"/>
        <v>4046380</v>
      </c>
      <c r="M111" s="10">
        <f t="shared" si="130"/>
        <v>21090000</v>
      </c>
      <c r="P111" s="51" t="s">
        <v>14</v>
      </c>
      <c r="R111" s="21" t="e">
        <f>+#REF!+R31+#REF!+#REF!+#REF!+#REF!+#REF!+#REF!</f>
        <v>#REF!</v>
      </c>
      <c r="S111" s="21" t="e">
        <f>+#REF!+S31+#REF!+#REF!+#REF!+#REF!+#REF!+#REF!</f>
        <v>#REF!</v>
      </c>
      <c r="T111" s="21" t="e">
        <f>+#REF!+T31+#REF!+#REF!+#REF!+#REF!+#REF!+#REF!</f>
        <v>#REF!</v>
      </c>
      <c r="U111" s="9"/>
      <c r="Z111" s="50" t="e">
        <f t="shared" si="123"/>
        <v>#DIV/0!</v>
      </c>
      <c r="AA111" s="50" t="e">
        <f t="shared" si="124"/>
        <v>#DIV/0!</v>
      </c>
      <c r="AB111" s="50" t="e">
        <f t="shared" si="125"/>
        <v>#VALUE!</v>
      </c>
      <c r="AC111" s="12"/>
      <c r="AD111" s="12"/>
      <c r="AH111" s="12"/>
      <c r="AI111" s="12"/>
    </row>
    <row r="112" spans="3:35" hidden="1" x14ac:dyDescent="0.25">
      <c r="L112" s="10">
        <f t="shared" si="129"/>
        <v>0</v>
      </c>
      <c r="M112" s="10">
        <f t="shared" si="130"/>
        <v>0</v>
      </c>
      <c r="R112" s="21" t="e">
        <f t="shared" ref="R112:T112" si="131">SUM(R107:R111)</f>
        <v>#REF!</v>
      </c>
      <c r="S112" s="21" t="e">
        <f t="shared" si="131"/>
        <v>#REF!</v>
      </c>
      <c r="T112" s="21" t="e">
        <f t="shared" si="131"/>
        <v>#REF!</v>
      </c>
      <c r="U112" s="9"/>
      <c r="Z112" s="50" t="e">
        <f t="shared" ref="Z112:Z143" si="132">+N112/I112</f>
        <v>#DIV/0!</v>
      </c>
      <c r="AA112" s="50" t="e">
        <f t="shared" ref="AA112:AA143" si="133">+O112/J112</f>
        <v>#DIV/0!</v>
      </c>
      <c r="AB112" s="50" t="e">
        <f t="shared" ref="AB112:AB143" si="134">+P112/K112</f>
        <v>#DIV/0!</v>
      </c>
      <c r="AC112" s="12"/>
      <c r="AD112" s="12"/>
      <c r="AH112" s="12"/>
      <c r="AI112" s="12"/>
    </row>
    <row r="113" spans="3:35" hidden="1" x14ac:dyDescent="0.25">
      <c r="L113" s="10">
        <f t="shared" si="129"/>
        <v>0</v>
      </c>
      <c r="M113" s="10">
        <f t="shared" si="130"/>
        <v>0</v>
      </c>
      <c r="U113" s="9"/>
      <c r="Z113" s="50" t="e">
        <f t="shared" si="132"/>
        <v>#DIV/0!</v>
      </c>
      <c r="AA113" s="50" t="e">
        <f t="shared" si="133"/>
        <v>#DIV/0!</v>
      </c>
      <c r="AB113" s="50" t="e">
        <f t="shared" si="134"/>
        <v>#DIV/0!</v>
      </c>
      <c r="AC113" s="12"/>
      <c r="AD113" s="12"/>
      <c r="AH113" s="12"/>
      <c r="AI113" s="12"/>
    </row>
    <row r="114" spans="3:35" hidden="1" x14ac:dyDescent="0.25">
      <c r="C114" s="21">
        <f>+C109/C108</f>
        <v>0.82063445121951217</v>
      </c>
      <c r="D114" s="21">
        <f>+D109/D108</f>
        <v>0.30701219512195121</v>
      </c>
      <c r="L114" s="10">
        <f t="shared" si="129"/>
        <v>0.82063445121951217</v>
      </c>
      <c r="M114" s="10">
        <f t="shared" si="130"/>
        <v>0.30701219512195121</v>
      </c>
      <c r="U114" s="9"/>
      <c r="Z114" s="50" t="e">
        <f t="shared" si="132"/>
        <v>#DIV/0!</v>
      </c>
      <c r="AA114" s="50" t="e">
        <f t="shared" si="133"/>
        <v>#DIV/0!</v>
      </c>
      <c r="AB114" s="50" t="e">
        <f t="shared" si="134"/>
        <v>#DIV/0!</v>
      </c>
      <c r="AC114" s="12"/>
      <c r="AD114" s="12"/>
      <c r="AH114" s="12"/>
      <c r="AI114" s="12"/>
    </row>
    <row r="115" spans="3:35" hidden="1" x14ac:dyDescent="0.25">
      <c r="C115" s="21">
        <f>+C110/C108</f>
        <v>6.7682926829268297E-2</v>
      </c>
      <c r="D115" s="21">
        <f>+D110/D108</f>
        <v>0</v>
      </c>
      <c r="L115" s="10">
        <f t="shared" si="129"/>
        <v>6.7682926829268297E-2</v>
      </c>
      <c r="M115" s="10">
        <f t="shared" si="130"/>
        <v>0</v>
      </c>
      <c r="U115" s="9"/>
      <c r="Z115" s="50" t="e">
        <f t="shared" si="132"/>
        <v>#DIV/0!</v>
      </c>
      <c r="AA115" s="50" t="e">
        <f t="shared" si="133"/>
        <v>#DIV/0!</v>
      </c>
      <c r="AB115" s="50" t="e">
        <f t="shared" si="134"/>
        <v>#DIV/0!</v>
      </c>
      <c r="AC115" s="12"/>
      <c r="AD115" s="12"/>
      <c r="AH115" s="12"/>
      <c r="AI115" s="12"/>
    </row>
    <row r="116" spans="3:35" hidden="1" x14ac:dyDescent="0.25">
      <c r="C116" s="21">
        <f>+C111/C108</f>
        <v>6.1682621951219513E-2</v>
      </c>
      <c r="D116" s="21">
        <f>+D111/D108</f>
        <v>0.64298780487804874</v>
      </c>
      <c r="L116" s="10">
        <f t="shared" si="129"/>
        <v>6.1682621951219513E-2</v>
      </c>
      <c r="M116" s="10">
        <f t="shared" si="130"/>
        <v>0.64298780487804874</v>
      </c>
      <c r="U116" s="9"/>
      <c r="Z116" s="50" t="e">
        <f t="shared" si="132"/>
        <v>#DIV/0!</v>
      </c>
      <c r="AA116" s="50" t="e">
        <f t="shared" si="133"/>
        <v>#DIV/0!</v>
      </c>
      <c r="AB116" s="50" t="e">
        <f t="shared" si="134"/>
        <v>#DIV/0!</v>
      </c>
      <c r="AC116" s="12"/>
      <c r="AD116" s="12"/>
      <c r="AH116" s="12"/>
      <c r="AI116" s="12"/>
    </row>
    <row r="117" spans="3:35" hidden="1" x14ac:dyDescent="0.25">
      <c r="L117" s="10">
        <f t="shared" si="129"/>
        <v>0</v>
      </c>
      <c r="M117" s="10">
        <f t="shared" si="130"/>
        <v>0</v>
      </c>
      <c r="U117" s="9"/>
      <c r="Z117" s="50" t="e">
        <f t="shared" si="132"/>
        <v>#DIV/0!</v>
      </c>
      <c r="AA117" s="50" t="e">
        <f t="shared" si="133"/>
        <v>#DIV/0!</v>
      </c>
      <c r="AB117" s="50" t="e">
        <f t="shared" si="134"/>
        <v>#DIV/0!</v>
      </c>
      <c r="AC117" s="12"/>
      <c r="AD117" s="12"/>
      <c r="AH117" s="12"/>
      <c r="AI117" s="12"/>
    </row>
    <row r="118" spans="3:35" hidden="1" x14ac:dyDescent="0.25">
      <c r="L118" s="10">
        <f t="shared" si="129"/>
        <v>0</v>
      </c>
      <c r="M118" s="10">
        <f t="shared" si="130"/>
        <v>0</v>
      </c>
      <c r="U118" s="9"/>
      <c r="Z118" s="50" t="e">
        <f t="shared" si="132"/>
        <v>#DIV/0!</v>
      </c>
      <c r="AA118" s="50" t="e">
        <f t="shared" si="133"/>
        <v>#DIV/0!</v>
      </c>
      <c r="AB118" s="50" t="e">
        <f t="shared" si="134"/>
        <v>#DIV/0!</v>
      </c>
      <c r="AC118" s="12"/>
      <c r="AD118" s="12"/>
      <c r="AH118" s="12"/>
      <c r="AI118" s="12"/>
    </row>
    <row r="119" spans="3:35" hidden="1" x14ac:dyDescent="0.25">
      <c r="C119" s="21">
        <f>+C108*0.04</f>
        <v>2624000</v>
      </c>
      <c r="D119" s="21">
        <f>+D108*0.04</f>
        <v>1312000</v>
      </c>
      <c r="I119" s="21">
        <f>+C108*0.007</f>
        <v>459200</v>
      </c>
      <c r="J119" s="21">
        <f>+D108*0.007</f>
        <v>229600</v>
      </c>
      <c r="L119" s="10">
        <f t="shared" si="129"/>
        <v>2164800</v>
      </c>
      <c r="M119" s="10">
        <f t="shared" si="130"/>
        <v>1082400</v>
      </c>
      <c r="U119" s="9"/>
      <c r="Z119" s="50">
        <f t="shared" si="132"/>
        <v>0</v>
      </c>
      <c r="AA119" s="50">
        <f t="shared" si="133"/>
        <v>0</v>
      </c>
      <c r="AB119" s="50" t="e">
        <f t="shared" si="134"/>
        <v>#DIV/0!</v>
      </c>
      <c r="AC119" s="12"/>
      <c r="AD119" s="12"/>
      <c r="AH119" s="12"/>
      <c r="AI119" s="12"/>
    </row>
    <row r="120" spans="3:35" hidden="1" x14ac:dyDescent="0.25">
      <c r="C120" s="21">
        <f>+C119*C114</f>
        <v>2153344.7999999998</v>
      </c>
      <c r="D120" s="21">
        <f>+D119*D114</f>
        <v>402800</v>
      </c>
      <c r="I120" s="21">
        <f>+I119*C114</f>
        <v>376835.33999999997</v>
      </c>
      <c r="J120" s="21">
        <f>+J119*D114</f>
        <v>70490</v>
      </c>
      <c r="L120" s="10">
        <f t="shared" si="129"/>
        <v>1776509.46</v>
      </c>
      <c r="M120" s="10">
        <f t="shared" si="130"/>
        <v>332310</v>
      </c>
      <c r="U120" s="9"/>
      <c r="Z120" s="50">
        <f t="shared" si="132"/>
        <v>0</v>
      </c>
      <c r="AA120" s="50">
        <f t="shared" si="133"/>
        <v>0</v>
      </c>
      <c r="AB120" s="50" t="e">
        <f t="shared" si="134"/>
        <v>#DIV/0!</v>
      </c>
      <c r="AC120" s="12"/>
      <c r="AD120" s="12"/>
      <c r="AH120" s="12"/>
      <c r="AI120" s="12"/>
    </row>
    <row r="121" spans="3:35" hidden="1" x14ac:dyDescent="0.25">
      <c r="C121" s="21">
        <f>+C115*C119</f>
        <v>177600</v>
      </c>
      <c r="D121" s="21">
        <f>+D115*D119</f>
        <v>0</v>
      </c>
      <c r="I121" s="21">
        <f>+I119*C115</f>
        <v>31080.000000000004</v>
      </c>
      <c r="J121" s="21">
        <f>+J119*D115</f>
        <v>0</v>
      </c>
      <c r="L121" s="10">
        <f t="shared" si="129"/>
        <v>146520</v>
      </c>
      <c r="M121" s="10">
        <f t="shared" si="130"/>
        <v>0</v>
      </c>
      <c r="U121" s="9"/>
      <c r="Z121" s="50">
        <f t="shared" si="132"/>
        <v>0</v>
      </c>
      <c r="AA121" s="50" t="e">
        <f t="shared" si="133"/>
        <v>#DIV/0!</v>
      </c>
      <c r="AB121" s="50" t="e">
        <f t="shared" si="134"/>
        <v>#DIV/0!</v>
      </c>
      <c r="AC121" s="12"/>
      <c r="AD121" s="12"/>
      <c r="AH121" s="12"/>
      <c r="AI121" s="12"/>
    </row>
    <row r="122" spans="3:35" hidden="1" x14ac:dyDescent="0.25">
      <c r="C122" s="21">
        <f>+C116*C119</f>
        <v>161855.20000000001</v>
      </c>
      <c r="D122" s="21">
        <f>+D116*D119</f>
        <v>843600</v>
      </c>
      <c r="I122" s="21">
        <f>+I119*C116</f>
        <v>28324.66</v>
      </c>
      <c r="J122" s="21">
        <f>+J119*D116</f>
        <v>147630</v>
      </c>
      <c r="L122" s="10">
        <f t="shared" si="129"/>
        <v>133530.54</v>
      </c>
      <c r="M122" s="10">
        <f t="shared" si="130"/>
        <v>695970</v>
      </c>
      <c r="U122" s="9"/>
      <c r="Z122" s="50">
        <f t="shared" si="132"/>
        <v>0</v>
      </c>
      <c r="AA122" s="50">
        <f t="shared" si="133"/>
        <v>0</v>
      </c>
      <c r="AB122" s="50" t="e">
        <f t="shared" si="134"/>
        <v>#DIV/0!</v>
      </c>
      <c r="AC122" s="12"/>
      <c r="AD122" s="12"/>
      <c r="AH122" s="12"/>
      <c r="AI122" s="12"/>
    </row>
    <row r="123" spans="3:35" ht="30" hidden="1" x14ac:dyDescent="0.25">
      <c r="L123" s="10">
        <f t="shared" si="129"/>
        <v>0</v>
      </c>
      <c r="M123" s="10">
        <f t="shared" si="130"/>
        <v>0</v>
      </c>
      <c r="O123" s="21" t="s">
        <v>8</v>
      </c>
      <c r="P123" s="21">
        <v>3.4499999999999996E-2</v>
      </c>
      <c r="R123" s="21">
        <f>+P123*100</f>
        <v>3.4499999999999997</v>
      </c>
      <c r="U123" s="9"/>
      <c r="Z123" s="50" t="e">
        <f t="shared" si="132"/>
        <v>#DIV/0!</v>
      </c>
      <c r="AA123" s="50" t="e">
        <f t="shared" si="133"/>
        <v>#VALUE!</v>
      </c>
      <c r="AB123" s="50" t="e">
        <f t="shared" si="134"/>
        <v>#DIV/0!</v>
      </c>
      <c r="AC123" s="12"/>
      <c r="AD123" s="12"/>
      <c r="AH123" s="12"/>
      <c r="AI123" s="12"/>
    </row>
    <row r="124" spans="3:35" ht="30" hidden="1" x14ac:dyDescent="0.25">
      <c r="L124" s="10">
        <f t="shared" si="129"/>
        <v>0</v>
      </c>
      <c r="M124" s="10">
        <f t="shared" si="130"/>
        <v>0</v>
      </c>
      <c r="O124" s="21" t="s">
        <v>12</v>
      </c>
      <c r="P124" s="21">
        <v>2.5000000000000001E-3</v>
      </c>
      <c r="R124" s="21">
        <f t="shared" ref="R124:R127" si="135">+P124*100</f>
        <v>0.25</v>
      </c>
      <c r="U124" s="9"/>
      <c r="Z124" s="50" t="e">
        <f t="shared" si="132"/>
        <v>#DIV/0!</v>
      </c>
      <c r="AA124" s="50" t="e">
        <f t="shared" si="133"/>
        <v>#VALUE!</v>
      </c>
      <c r="AB124" s="50" t="e">
        <f t="shared" si="134"/>
        <v>#DIV/0!</v>
      </c>
      <c r="AC124" s="12"/>
      <c r="AD124" s="12"/>
      <c r="AH124" s="12"/>
      <c r="AI124" s="12"/>
    </row>
    <row r="125" spans="3:35" hidden="1" x14ac:dyDescent="0.25">
      <c r="L125" s="10">
        <f t="shared" si="129"/>
        <v>0</v>
      </c>
      <c r="M125" s="10">
        <f t="shared" si="130"/>
        <v>0</v>
      </c>
      <c r="O125" s="21" t="s">
        <v>13</v>
      </c>
      <c r="P125" s="21">
        <v>6.4999999999999997E-3</v>
      </c>
      <c r="R125" s="21">
        <f t="shared" si="135"/>
        <v>0.65</v>
      </c>
      <c r="U125" s="9"/>
      <c r="Z125" s="50" t="e">
        <f t="shared" si="132"/>
        <v>#DIV/0!</v>
      </c>
      <c r="AA125" s="50" t="e">
        <f t="shared" si="133"/>
        <v>#VALUE!</v>
      </c>
      <c r="AB125" s="50" t="e">
        <f t="shared" si="134"/>
        <v>#DIV/0!</v>
      </c>
      <c r="AC125" s="12"/>
      <c r="AD125" s="12"/>
      <c r="AH125" s="12"/>
      <c r="AI125" s="12"/>
    </row>
    <row r="126" spans="3:35" ht="30" hidden="1" x14ac:dyDescent="0.25">
      <c r="C126" s="21">
        <f>-1+0.047</f>
        <v>-0.95299999999999996</v>
      </c>
      <c r="L126" s="10">
        <f t="shared" si="129"/>
        <v>-0.95299999999999996</v>
      </c>
      <c r="M126" s="10">
        <f t="shared" si="130"/>
        <v>0</v>
      </c>
      <c r="O126" s="21" t="s">
        <v>9</v>
      </c>
      <c r="P126" s="21">
        <v>3.0000000000000001E-3</v>
      </c>
      <c r="R126" s="21">
        <f t="shared" si="135"/>
        <v>0.3</v>
      </c>
      <c r="U126" s="9"/>
      <c r="Z126" s="50" t="e">
        <f t="shared" si="132"/>
        <v>#DIV/0!</v>
      </c>
      <c r="AA126" s="50" t="e">
        <f t="shared" si="133"/>
        <v>#VALUE!</v>
      </c>
      <c r="AB126" s="50" t="e">
        <f t="shared" si="134"/>
        <v>#DIV/0!</v>
      </c>
      <c r="AC126" s="12"/>
      <c r="AD126" s="12"/>
      <c r="AH126" s="12"/>
      <c r="AI126" s="12"/>
    </row>
    <row r="127" spans="3:35" ht="30" hidden="1" x14ac:dyDescent="0.25">
      <c r="C127" s="21">
        <f>+C126*C108</f>
        <v>-62516800</v>
      </c>
      <c r="L127" s="10">
        <f t="shared" si="129"/>
        <v>-62516800</v>
      </c>
      <c r="M127" s="10">
        <f t="shared" si="130"/>
        <v>0</v>
      </c>
      <c r="O127" s="21" t="s">
        <v>14</v>
      </c>
      <c r="P127" s="21">
        <v>3.5000000000000001E-3</v>
      </c>
      <c r="R127" s="21">
        <f t="shared" si="135"/>
        <v>0.35000000000000003</v>
      </c>
      <c r="U127" s="9"/>
      <c r="Z127" s="50" t="e">
        <f t="shared" si="132"/>
        <v>#DIV/0!</v>
      </c>
      <c r="AA127" s="50" t="e">
        <f t="shared" si="133"/>
        <v>#VALUE!</v>
      </c>
      <c r="AB127" s="50" t="e">
        <f t="shared" si="134"/>
        <v>#DIV/0!</v>
      </c>
      <c r="AC127" s="12"/>
      <c r="AD127" s="12"/>
      <c r="AH127" s="12"/>
      <c r="AI127" s="12"/>
    </row>
    <row r="128" spans="3:35" hidden="1" x14ac:dyDescent="0.25">
      <c r="L128" s="10">
        <f t="shared" si="129"/>
        <v>0</v>
      </c>
      <c r="M128" s="10">
        <f t="shared" si="130"/>
        <v>0</v>
      </c>
      <c r="U128" s="9"/>
      <c r="Z128" s="50" t="e">
        <f t="shared" si="132"/>
        <v>#DIV/0!</v>
      </c>
      <c r="AA128" s="50" t="e">
        <f t="shared" si="133"/>
        <v>#DIV/0!</v>
      </c>
      <c r="AB128" s="50" t="e">
        <f t="shared" si="134"/>
        <v>#DIV/0!</v>
      </c>
      <c r="AC128" s="12"/>
      <c r="AD128" s="12"/>
      <c r="AH128" s="12"/>
      <c r="AI128" s="12"/>
    </row>
    <row r="129" spans="3:35" hidden="1" x14ac:dyDescent="0.25">
      <c r="L129" s="10">
        <f t="shared" si="129"/>
        <v>0</v>
      </c>
      <c r="M129" s="10">
        <f t="shared" si="130"/>
        <v>0</v>
      </c>
      <c r="U129" s="9"/>
      <c r="Z129" s="50" t="e">
        <f t="shared" si="132"/>
        <v>#DIV/0!</v>
      </c>
      <c r="AA129" s="50" t="e">
        <f t="shared" si="133"/>
        <v>#DIV/0!</v>
      </c>
      <c r="AB129" s="50" t="e">
        <f t="shared" si="134"/>
        <v>#DIV/0!</v>
      </c>
      <c r="AC129" s="12"/>
      <c r="AD129" s="12"/>
      <c r="AH129" s="12"/>
      <c r="AI129" s="12"/>
    </row>
    <row r="130" spans="3:35" hidden="1" x14ac:dyDescent="0.25">
      <c r="L130" s="10">
        <f t="shared" si="129"/>
        <v>0</v>
      </c>
      <c r="M130" s="10">
        <f t="shared" si="130"/>
        <v>0</v>
      </c>
      <c r="U130" s="9"/>
      <c r="Z130" s="50" t="e">
        <f t="shared" si="132"/>
        <v>#DIV/0!</v>
      </c>
      <c r="AA130" s="50" t="e">
        <f t="shared" si="133"/>
        <v>#DIV/0!</v>
      </c>
      <c r="AB130" s="50" t="e">
        <f t="shared" si="134"/>
        <v>#DIV/0!</v>
      </c>
      <c r="AC130" s="12"/>
      <c r="AD130" s="12"/>
      <c r="AH130" s="12"/>
      <c r="AI130" s="12"/>
    </row>
    <row r="131" spans="3:35" hidden="1" x14ac:dyDescent="0.25">
      <c r="L131" s="10">
        <f t="shared" si="129"/>
        <v>0</v>
      </c>
      <c r="M131" s="10">
        <f t="shared" si="130"/>
        <v>0</v>
      </c>
      <c r="U131" s="9"/>
      <c r="Z131" s="50" t="e">
        <f t="shared" si="132"/>
        <v>#DIV/0!</v>
      </c>
      <c r="AA131" s="50" t="e">
        <f t="shared" si="133"/>
        <v>#DIV/0!</v>
      </c>
      <c r="AB131" s="50" t="e">
        <f t="shared" si="134"/>
        <v>#DIV/0!</v>
      </c>
      <c r="AC131" s="12"/>
      <c r="AD131" s="12"/>
      <c r="AH131" s="12"/>
      <c r="AI131" s="12"/>
    </row>
    <row r="132" spans="3:35" hidden="1" x14ac:dyDescent="0.25">
      <c r="L132" s="10">
        <f t="shared" si="129"/>
        <v>0</v>
      </c>
      <c r="M132" s="10">
        <f t="shared" si="130"/>
        <v>0</v>
      </c>
      <c r="U132" s="9"/>
      <c r="Z132" s="50" t="e">
        <f t="shared" si="132"/>
        <v>#DIV/0!</v>
      </c>
      <c r="AA132" s="50" t="e">
        <f t="shared" si="133"/>
        <v>#DIV/0!</v>
      </c>
      <c r="AB132" s="50" t="e">
        <f t="shared" si="134"/>
        <v>#DIV/0!</v>
      </c>
      <c r="AC132" s="12"/>
      <c r="AD132" s="12"/>
      <c r="AH132" s="12"/>
      <c r="AI132" s="12"/>
    </row>
    <row r="133" spans="3:35" hidden="1" x14ac:dyDescent="0.25">
      <c r="L133" s="10">
        <f t="shared" si="129"/>
        <v>0</v>
      </c>
      <c r="M133" s="10">
        <f t="shared" si="130"/>
        <v>0</v>
      </c>
      <c r="U133" s="9"/>
      <c r="Z133" s="50" t="e">
        <f t="shared" si="132"/>
        <v>#DIV/0!</v>
      </c>
      <c r="AA133" s="50" t="e">
        <f t="shared" si="133"/>
        <v>#DIV/0!</v>
      </c>
      <c r="AB133" s="50" t="e">
        <f t="shared" si="134"/>
        <v>#DIV/0!</v>
      </c>
      <c r="AC133" s="12"/>
      <c r="AD133" s="12"/>
      <c r="AH133" s="12"/>
      <c r="AI133" s="12"/>
    </row>
    <row r="134" spans="3:35" hidden="1" x14ac:dyDescent="0.25">
      <c r="L134" s="10">
        <f t="shared" si="129"/>
        <v>0</v>
      </c>
      <c r="M134" s="10">
        <f t="shared" si="130"/>
        <v>0</v>
      </c>
      <c r="U134" s="9"/>
      <c r="Z134" s="50" t="e">
        <f t="shared" si="132"/>
        <v>#DIV/0!</v>
      </c>
      <c r="AA134" s="50" t="e">
        <f t="shared" si="133"/>
        <v>#DIV/0!</v>
      </c>
      <c r="AB134" s="50" t="e">
        <f t="shared" si="134"/>
        <v>#DIV/0!</v>
      </c>
      <c r="AC134" s="12"/>
      <c r="AD134" s="12"/>
      <c r="AH134" s="12"/>
      <c r="AI134" s="12"/>
    </row>
    <row r="135" spans="3:35" hidden="1" x14ac:dyDescent="0.25">
      <c r="L135" s="10">
        <f t="shared" si="129"/>
        <v>0</v>
      </c>
      <c r="M135" s="10">
        <f t="shared" si="130"/>
        <v>0</v>
      </c>
      <c r="U135" s="9"/>
      <c r="Z135" s="50" t="e">
        <f t="shared" si="132"/>
        <v>#DIV/0!</v>
      </c>
      <c r="AA135" s="50" t="e">
        <f t="shared" si="133"/>
        <v>#DIV/0!</v>
      </c>
      <c r="AB135" s="50" t="e">
        <f t="shared" si="134"/>
        <v>#DIV/0!</v>
      </c>
      <c r="AC135" s="12"/>
      <c r="AD135" s="12"/>
      <c r="AH135" s="12"/>
      <c r="AI135" s="12"/>
    </row>
    <row r="136" spans="3:35" hidden="1" x14ac:dyDescent="0.25">
      <c r="L136" s="10">
        <f t="shared" si="129"/>
        <v>0</v>
      </c>
      <c r="M136" s="10">
        <f t="shared" si="130"/>
        <v>0</v>
      </c>
      <c r="U136" s="9"/>
      <c r="Z136" s="50" t="e">
        <f t="shared" si="132"/>
        <v>#DIV/0!</v>
      </c>
      <c r="AA136" s="50" t="e">
        <f t="shared" si="133"/>
        <v>#DIV/0!</v>
      </c>
      <c r="AB136" s="50" t="e">
        <f t="shared" si="134"/>
        <v>#DIV/0!</v>
      </c>
      <c r="AC136" s="12"/>
      <c r="AD136" s="12"/>
      <c r="AH136" s="12"/>
      <c r="AI136" s="12"/>
    </row>
    <row r="137" spans="3:35" hidden="1" x14ac:dyDescent="0.25">
      <c r="C137" s="21">
        <v>87300000</v>
      </c>
      <c r="D137" s="21">
        <v>21825000</v>
      </c>
      <c r="L137" s="10">
        <f t="shared" si="129"/>
        <v>87300000</v>
      </c>
      <c r="M137" s="10">
        <f t="shared" si="130"/>
        <v>21825000</v>
      </c>
      <c r="U137" s="9"/>
      <c r="Z137" s="50" t="e">
        <f t="shared" si="132"/>
        <v>#DIV/0!</v>
      </c>
      <c r="AA137" s="50" t="e">
        <f t="shared" si="133"/>
        <v>#DIV/0!</v>
      </c>
      <c r="AB137" s="50" t="e">
        <f t="shared" si="134"/>
        <v>#DIV/0!</v>
      </c>
      <c r="AC137" s="12"/>
      <c r="AD137" s="12"/>
      <c r="AH137" s="12"/>
      <c r="AI137" s="12"/>
    </row>
    <row r="138" spans="3:35" hidden="1" x14ac:dyDescent="0.25">
      <c r="C138" s="21">
        <v>48031544</v>
      </c>
      <c r="D138" s="21">
        <v>12007886</v>
      </c>
      <c r="L138" s="10">
        <f t="shared" si="129"/>
        <v>48031544</v>
      </c>
      <c r="M138" s="10">
        <f t="shared" si="130"/>
        <v>12007886</v>
      </c>
      <c r="U138" s="9"/>
      <c r="Z138" s="50" t="e">
        <f t="shared" si="132"/>
        <v>#DIV/0!</v>
      </c>
      <c r="AA138" s="50" t="e">
        <f t="shared" si="133"/>
        <v>#DIV/0!</v>
      </c>
      <c r="AB138" s="50" t="e">
        <f t="shared" si="134"/>
        <v>#DIV/0!</v>
      </c>
      <c r="AC138" s="12"/>
      <c r="AD138" s="12"/>
      <c r="AH138" s="12"/>
      <c r="AI138" s="12"/>
    </row>
    <row r="139" spans="3:35" hidden="1" x14ac:dyDescent="0.25">
      <c r="C139" s="21">
        <v>32021030</v>
      </c>
      <c r="D139" s="21">
        <v>8005258</v>
      </c>
      <c r="L139" s="10">
        <f t="shared" ref="L139:L158" si="136">+C139-I139</f>
        <v>32021030</v>
      </c>
      <c r="M139" s="10">
        <f t="shared" ref="M139:M158" si="137">+D139-J139</f>
        <v>8005258</v>
      </c>
      <c r="U139" s="9"/>
      <c r="Z139" s="50" t="e">
        <f t="shared" si="132"/>
        <v>#DIV/0!</v>
      </c>
      <c r="AA139" s="50" t="e">
        <f t="shared" si="133"/>
        <v>#DIV/0!</v>
      </c>
      <c r="AB139" s="50" t="e">
        <f t="shared" si="134"/>
        <v>#DIV/0!</v>
      </c>
      <c r="AC139" s="12"/>
      <c r="AD139" s="12"/>
      <c r="AH139" s="12"/>
      <c r="AI139" s="12"/>
    </row>
    <row r="140" spans="3:35" hidden="1" x14ac:dyDescent="0.25">
      <c r="C140" s="21">
        <v>7247426</v>
      </c>
      <c r="D140" s="21">
        <v>1811856</v>
      </c>
      <c r="L140" s="10">
        <f t="shared" si="136"/>
        <v>7247426</v>
      </c>
      <c r="M140" s="10">
        <f t="shared" si="137"/>
        <v>1811856</v>
      </c>
      <c r="U140" s="9"/>
      <c r="Z140" s="50" t="e">
        <f t="shared" si="132"/>
        <v>#DIV/0!</v>
      </c>
      <c r="AA140" s="50" t="e">
        <f t="shared" si="133"/>
        <v>#DIV/0!</v>
      </c>
      <c r="AB140" s="50" t="e">
        <f t="shared" si="134"/>
        <v>#DIV/0!</v>
      </c>
      <c r="AC140" s="12"/>
      <c r="AD140" s="12"/>
      <c r="AH140" s="12"/>
      <c r="AI140" s="12"/>
    </row>
    <row r="141" spans="3:35" hidden="1" x14ac:dyDescent="0.25">
      <c r="L141" s="10">
        <f t="shared" si="136"/>
        <v>0</v>
      </c>
      <c r="M141" s="10">
        <f t="shared" si="137"/>
        <v>0</v>
      </c>
      <c r="U141" s="9"/>
      <c r="Z141" s="50" t="e">
        <f t="shared" si="132"/>
        <v>#DIV/0!</v>
      </c>
      <c r="AA141" s="50" t="e">
        <f t="shared" si="133"/>
        <v>#DIV/0!</v>
      </c>
      <c r="AB141" s="50" t="e">
        <f t="shared" si="134"/>
        <v>#DIV/0!</v>
      </c>
      <c r="AC141" s="12"/>
      <c r="AD141" s="12"/>
      <c r="AH141" s="12"/>
      <c r="AI141" s="12"/>
    </row>
    <row r="142" spans="3:35" hidden="1" x14ac:dyDescent="0.25">
      <c r="L142" s="10">
        <f t="shared" si="136"/>
        <v>0</v>
      </c>
      <c r="M142" s="10">
        <f t="shared" si="137"/>
        <v>0</v>
      </c>
      <c r="U142" s="9"/>
      <c r="Z142" s="50" t="e">
        <f t="shared" si="132"/>
        <v>#DIV/0!</v>
      </c>
      <c r="AA142" s="50" t="e">
        <f t="shared" si="133"/>
        <v>#DIV/0!</v>
      </c>
      <c r="AB142" s="50" t="e">
        <f t="shared" si="134"/>
        <v>#DIV/0!</v>
      </c>
      <c r="AC142" s="12"/>
      <c r="AD142" s="12"/>
      <c r="AH142" s="12"/>
      <c r="AI142" s="12"/>
    </row>
    <row r="143" spans="3:35" hidden="1" x14ac:dyDescent="0.25">
      <c r="C143" s="21">
        <f>+C138/C137</f>
        <v>0.55018950744558992</v>
      </c>
      <c r="D143" s="21">
        <f>+D138/D137</f>
        <v>0.55018950744558992</v>
      </c>
      <c r="L143" s="10">
        <f t="shared" si="136"/>
        <v>0.55018950744558992</v>
      </c>
      <c r="M143" s="10">
        <f t="shared" si="137"/>
        <v>0.55018950744558992</v>
      </c>
      <c r="U143" s="9"/>
      <c r="Z143" s="50" t="e">
        <f t="shared" si="132"/>
        <v>#DIV/0!</v>
      </c>
      <c r="AA143" s="50" t="e">
        <f t="shared" si="133"/>
        <v>#DIV/0!</v>
      </c>
      <c r="AB143" s="50" t="e">
        <f t="shared" si="134"/>
        <v>#DIV/0!</v>
      </c>
      <c r="AC143" s="12"/>
      <c r="AD143" s="12"/>
      <c r="AH143" s="12"/>
      <c r="AI143" s="12"/>
    </row>
    <row r="144" spans="3:35" hidden="1" x14ac:dyDescent="0.25">
      <c r="C144" s="21">
        <f>+C139/C137</f>
        <v>0.36679301260022912</v>
      </c>
      <c r="D144" s="21">
        <f>+D139/D137</f>
        <v>0.36679303550973652</v>
      </c>
      <c r="L144" s="10">
        <f t="shared" si="136"/>
        <v>0.36679301260022912</v>
      </c>
      <c r="M144" s="10">
        <f t="shared" si="137"/>
        <v>0.36679303550973652</v>
      </c>
      <c r="U144" s="9"/>
      <c r="Z144" s="50" t="e">
        <f t="shared" ref="Z144:Z158" si="138">+N144/I144</f>
        <v>#DIV/0!</v>
      </c>
      <c r="AA144" s="50" t="e">
        <f t="shared" ref="AA144:AA158" si="139">+O144/J144</f>
        <v>#DIV/0!</v>
      </c>
      <c r="AB144" s="50" t="e">
        <f t="shared" ref="AB144:AB158" si="140">+P144/K144</f>
        <v>#DIV/0!</v>
      </c>
      <c r="AC144" s="12"/>
      <c r="AD144" s="12"/>
      <c r="AH144" s="12"/>
      <c r="AI144" s="12"/>
    </row>
    <row r="145" spans="3:35" hidden="1" x14ac:dyDescent="0.25">
      <c r="C145" s="21">
        <f>+C140/C137</f>
        <v>8.3017479954180989E-2</v>
      </c>
      <c r="D145" s="21">
        <f>+D140/D137</f>
        <v>8.3017457044673545E-2</v>
      </c>
      <c r="L145" s="10">
        <f t="shared" si="136"/>
        <v>8.3017479954180989E-2</v>
      </c>
      <c r="M145" s="10">
        <f t="shared" si="137"/>
        <v>8.3017457044673545E-2</v>
      </c>
      <c r="U145" s="9"/>
      <c r="Z145" s="50" t="e">
        <f t="shared" si="138"/>
        <v>#DIV/0!</v>
      </c>
      <c r="AA145" s="50" t="e">
        <f t="shared" si="139"/>
        <v>#DIV/0!</v>
      </c>
      <c r="AB145" s="50" t="e">
        <f t="shared" si="140"/>
        <v>#DIV/0!</v>
      </c>
      <c r="AC145" s="12"/>
      <c r="AD145" s="12"/>
      <c r="AH145" s="12"/>
      <c r="AI145" s="12"/>
    </row>
    <row r="146" spans="3:35" hidden="1" x14ac:dyDescent="0.25">
      <c r="L146" s="10">
        <f t="shared" si="136"/>
        <v>0</v>
      </c>
      <c r="M146" s="10">
        <f t="shared" si="137"/>
        <v>0</v>
      </c>
      <c r="U146" s="9"/>
      <c r="Z146" s="50" t="e">
        <f t="shared" si="138"/>
        <v>#DIV/0!</v>
      </c>
      <c r="AA146" s="50" t="e">
        <f t="shared" si="139"/>
        <v>#DIV/0!</v>
      </c>
      <c r="AB146" s="50" t="e">
        <f t="shared" si="140"/>
        <v>#DIV/0!</v>
      </c>
      <c r="AC146" s="12"/>
      <c r="AD146" s="12"/>
      <c r="AH146" s="12"/>
      <c r="AI146" s="12"/>
    </row>
    <row r="147" spans="3:35" hidden="1" x14ac:dyDescent="0.25">
      <c r="L147" s="10">
        <f t="shared" si="136"/>
        <v>0</v>
      </c>
      <c r="M147" s="10">
        <f t="shared" si="137"/>
        <v>0</v>
      </c>
      <c r="U147" s="9"/>
      <c r="Z147" s="50" t="e">
        <f t="shared" si="138"/>
        <v>#DIV/0!</v>
      </c>
      <c r="AA147" s="50" t="e">
        <f t="shared" si="139"/>
        <v>#DIV/0!</v>
      </c>
      <c r="AB147" s="50" t="e">
        <f t="shared" si="140"/>
        <v>#DIV/0!</v>
      </c>
      <c r="AC147" s="12"/>
      <c r="AD147" s="12"/>
      <c r="AH147" s="12"/>
      <c r="AI147" s="12"/>
    </row>
    <row r="148" spans="3:35" hidden="1" x14ac:dyDescent="0.25">
      <c r="C148" s="21">
        <f>+C137*0.04</f>
        <v>3492000</v>
      </c>
      <c r="D148" s="21">
        <f>+D137*0.04</f>
        <v>873000</v>
      </c>
      <c r="I148" s="21">
        <f>+C137*0.007</f>
        <v>611100</v>
      </c>
      <c r="J148" s="21">
        <f>+D137*0.007</f>
        <v>152775</v>
      </c>
      <c r="L148" s="10">
        <f t="shared" si="136"/>
        <v>2880900</v>
      </c>
      <c r="M148" s="10">
        <f t="shared" si="137"/>
        <v>720225</v>
      </c>
      <c r="U148" s="9"/>
      <c r="Z148" s="50">
        <f t="shared" si="138"/>
        <v>0</v>
      </c>
      <c r="AA148" s="50">
        <f t="shared" si="139"/>
        <v>0</v>
      </c>
      <c r="AB148" s="50" t="e">
        <f t="shared" si="140"/>
        <v>#DIV/0!</v>
      </c>
      <c r="AC148" s="12"/>
      <c r="AD148" s="12"/>
      <c r="AH148" s="12"/>
      <c r="AI148" s="12"/>
    </row>
    <row r="149" spans="3:35" hidden="1" x14ac:dyDescent="0.25">
      <c r="C149" s="21">
        <f>+C148*C143</f>
        <v>1921261.76</v>
      </c>
      <c r="D149" s="21">
        <f>+D148*D143</f>
        <v>480315.44</v>
      </c>
      <c r="I149" s="21">
        <f>+I148*C143</f>
        <v>336220.80800000002</v>
      </c>
      <c r="J149" s="21">
        <f>+J148*D143</f>
        <v>84055.202000000005</v>
      </c>
      <c r="L149" s="10">
        <f t="shared" si="136"/>
        <v>1585040.952</v>
      </c>
      <c r="M149" s="10">
        <f t="shared" si="137"/>
        <v>396260.23800000001</v>
      </c>
      <c r="U149" s="9"/>
      <c r="Z149" s="50">
        <f t="shared" si="138"/>
        <v>0</v>
      </c>
      <c r="AA149" s="50">
        <f t="shared" si="139"/>
        <v>0</v>
      </c>
      <c r="AB149" s="50" t="e">
        <f t="shared" si="140"/>
        <v>#DIV/0!</v>
      </c>
      <c r="AC149" s="12"/>
      <c r="AD149" s="12"/>
      <c r="AH149" s="12"/>
      <c r="AI149" s="12"/>
    </row>
    <row r="150" spans="3:35" hidden="1" x14ac:dyDescent="0.25">
      <c r="C150" s="21">
        <f>+C144*C148</f>
        <v>1280841.2000000002</v>
      </c>
      <c r="D150" s="21">
        <f>+D144*D148</f>
        <v>320210.32</v>
      </c>
      <c r="I150" s="21">
        <f>+I148*C144</f>
        <v>224147.21000000002</v>
      </c>
      <c r="J150" s="21">
        <f>+J148*D144</f>
        <v>56036.805999999997</v>
      </c>
      <c r="L150" s="10">
        <f t="shared" si="136"/>
        <v>1056693.9900000002</v>
      </c>
      <c r="M150" s="10">
        <f t="shared" si="137"/>
        <v>264173.51400000002</v>
      </c>
      <c r="U150" s="9"/>
      <c r="Z150" s="50">
        <f t="shared" si="138"/>
        <v>0</v>
      </c>
      <c r="AA150" s="50">
        <f t="shared" si="139"/>
        <v>0</v>
      </c>
      <c r="AB150" s="50" t="e">
        <f t="shared" si="140"/>
        <v>#DIV/0!</v>
      </c>
      <c r="AC150" s="12"/>
      <c r="AD150" s="12"/>
      <c r="AH150" s="12"/>
      <c r="AI150" s="12"/>
    </row>
    <row r="151" spans="3:35" hidden="1" x14ac:dyDescent="0.25">
      <c r="C151" s="21">
        <f>+C145*C148</f>
        <v>289897.04000000004</v>
      </c>
      <c r="D151" s="21">
        <f>+D145*D148</f>
        <v>72474.240000000005</v>
      </c>
      <c r="I151" s="21">
        <f>+I148*C145</f>
        <v>50731.982000000004</v>
      </c>
      <c r="J151" s="21">
        <f>+J148*D145</f>
        <v>12682.992</v>
      </c>
      <c r="L151" s="10">
        <f t="shared" si="136"/>
        <v>239165.05800000002</v>
      </c>
      <c r="M151" s="10">
        <f t="shared" si="137"/>
        <v>59791.248000000007</v>
      </c>
      <c r="U151" s="9"/>
      <c r="Z151" s="50">
        <f t="shared" si="138"/>
        <v>0</v>
      </c>
      <c r="AA151" s="50">
        <f t="shared" si="139"/>
        <v>0</v>
      </c>
      <c r="AB151" s="50" t="e">
        <f t="shared" si="140"/>
        <v>#DIV/0!</v>
      </c>
      <c r="AC151" s="12"/>
      <c r="AD151" s="12"/>
      <c r="AH151" s="12"/>
      <c r="AI151" s="12"/>
    </row>
    <row r="152" spans="3:35" hidden="1" x14ac:dyDescent="0.25">
      <c r="L152" s="10">
        <f t="shared" si="136"/>
        <v>0</v>
      </c>
      <c r="M152" s="10">
        <f t="shared" si="137"/>
        <v>0</v>
      </c>
      <c r="U152" s="9"/>
      <c r="Z152" s="50" t="e">
        <f t="shared" si="138"/>
        <v>#DIV/0!</v>
      </c>
      <c r="AA152" s="50" t="e">
        <f t="shared" si="139"/>
        <v>#DIV/0!</v>
      </c>
      <c r="AB152" s="50" t="e">
        <f t="shared" si="140"/>
        <v>#DIV/0!</v>
      </c>
      <c r="AC152" s="12"/>
      <c r="AD152" s="12"/>
      <c r="AH152" s="12"/>
      <c r="AI152" s="12"/>
    </row>
    <row r="153" spans="3:35" hidden="1" x14ac:dyDescent="0.25">
      <c r="L153" s="10">
        <f t="shared" si="136"/>
        <v>0</v>
      </c>
      <c r="M153" s="10">
        <f t="shared" si="137"/>
        <v>0</v>
      </c>
      <c r="U153" s="9"/>
      <c r="Z153" s="50" t="e">
        <f t="shared" si="138"/>
        <v>#DIV/0!</v>
      </c>
      <c r="AA153" s="50" t="e">
        <f t="shared" si="139"/>
        <v>#DIV/0!</v>
      </c>
      <c r="AB153" s="50" t="e">
        <f t="shared" si="140"/>
        <v>#DIV/0!</v>
      </c>
      <c r="AC153" s="12"/>
      <c r="AD153" s="12"/>
      <c r="AH153" s="12"/>
      <c r="AI153" s="12"/>
    </row>
    <row r="154" spans="3:35" hidden="1" x14ac:dyDescent="0.25">
      <c r="L154" s="10">
        <f t="shared" si="136"/>
        <v>0</v>
      </c>
      <c r="M154" s="10">
        <f t="shared" si="137"/>
        <v>0</v>
      </c>
      <c r="U154" s="9"/>
      <c r="Z154" s="50" t="e">
        <f t="shared" si="138"/>
        <v>#DIV/0!</v>
      </c>
      <c r="AA154" s="50" t="e">
        <f t="shared" si="139"/>
        <v>#DIV/0!</v>
      </c>
      <c r="AB154" s="50" t="e">
        <f t="shared" si="140"/>
        <v>#DIV/0!</v>
      </c>
      <c r="AC154" s="12"/>
      <c r="AD154" s="12"/>
      <c r="AH154" s="12"/>
      <c r="AI154" s="12"/>
    </row>
    <row r="155" spans="3:35" hidden="1" x14ac:dyDescent="0.25">
      <c r="C155" s="21">
        <f>-1+0.047</f>
        <v>-0.95299999999999996</v>
      </c>
      <c r="L155" s="10">
        <f t="shared" si="136"/>
        <v>-0.95299999999999996</v>
      </c>
      <c r="M155" s="10">
        <f t="shared" si="137"/>
        <v>0</v>
      </c>
      <c r="U155" s="9"/>
      <c r="Z155" s="50" t="e">
        <f t="shared" si="138"/>
        <v>#DIV/0!</v>
      </c>
      <c r="AA155" s="50" t="e">
        <f t="shared" si="139"/>
        <v>#DIV/0!</v>
      </c>
      <c r="AB155" s="50" t="e">
        <f t="shared" si="140"/>
        <v>#DIV/0!</v>
      </c>
      <c r="AC155" s="12"/>
      <c r="AD155" s="12"/>
      <c r="AH155" s="12"/>
      <c r="AI155" s="12"/>
    </row>
    <row r="156" spans="3:35" hidden="1" x14ac:dyDescent="0.25">
      <c r="C156" s="21">
        <f>+C155*C137</f>
        <v>-83196900</v>
      </c>
      <c r="L156" s="10">
        <f t="shared" si="136"/>
        <v>-83196900</v>
      </c>
      <c r="M156" s="10">
        <f t="shared" si="137"/>
        <v>0</v>
      </c>
      <c r="U156" s="9"/>
      <c r="Z156" s="50" t="e">
        <f t="shared" si="138"/>
        <v>#DIV/0!</v>
      </c>
      <c r="AA156" s="50" t="e">
        <f t="shared" si="139"/>
        <v>#DIV/0!</v>
      </c>
      <c r="AB156" s="50" t="e">
        <f t="shared" si="140"/>
        <v>#DIV/0!</v>
      </c>
      <c r="AC156" s="12"/>
      <c r="AD156" s="12"/>
      <c r="AH156" s="12"/>
      <c r="AI156" s="12"/>
    </row>
    <row r="157" spans="3:35" hidden="1" x14ac:dyDescent="0.25">
      <c r="L157" s="10">
        <f t="shared" si="136"/>
        <v>0</v>
      </c>
      <c r="M157" s="10">
        <f t="shared" si="137"/>
        <v>0</v>
      </c>
      <c r="U157" s="9"/>
      <c r="Z157" s="50" t="e">
        <f t="shared" si="138"/>
        <v>#DIV/0!</v>
      </c>
      <c r="AA157" s="50" t="e">
        <f t="shared" si="139"/>
        <v>#DIV/0!</v>
      </c>
      <c r="AB157" s="50" t="e">
        <f t="shared" si="140"/>
        <v>#DIV/0!</v>
      </c>
      <c r="AC157" s="12"/>
      <c r="AD157" s="12"/>
      <c r="AH157" s="12"/>
      <c r="AI157" s="12"/>
    </row>
    <row r="158" spans="3:35" hidden="1" x14ac:dyDescent="0.25">
      <c r="L158" s="10">
        <f t="shared" si="136"/>
        <v>0</v>
      </c>
      <c r="M158" s="10">
        <f t="shared" si="137"/>
        <v>0</v>
      </c>
      <c r="U158" s="9"/>
      <c r="Z158" s="50" t="e">
        <f t="shared" si="138"/>
        <v>#DIV/0!</v>
      </c>
      <c r="AA158" s="50" t="e">
        <f t="shared" si="139"/>
        <v>#DIV/0!</v>
      </c>
      <c r="AB158" s="50" t="e">
        <f t="shared" si="140"/>
        <v>#DIV/0!</v>
      </c>
      <c r="AC158" s="12"/>
      <c r="AD158" s="12"/>
      <c r="AH158" s="12"/>
      <c r="AI158" s="12"/>
    </row>
    <row r="159" spans="3:35" hidden="1" x14ac:dyDescent="0.25"/>
    <row r="160" spans="3:35" hidden="1" x14ac:dyDescent="0.25">
      <c r="U160" s="9"/>
      <c r="AC160" s="12"/>
      <c r="AD160" s="12"/>
      <c r="AH160" s="12"/>
      <c r="AI160" s="12"/>
    </row>
    <row r="161" spans="1:38" ht="48" hidden="1" customHeight="1" x14ac:dyDescent="0.25">
      <c r="AC161" s="12"/>
      <c r="AD161" s="12"/>
      <c r="AE161" s="21"/>
      <c r="AF161" s="52"/>
      <c r="AH161" s="12"/>
      <c r="AI161" s="12"/>
    </row>
    <row r="162" spans="1:38" ht="48" hidden="1" customHeight="1" x14ac:dyDescent="0.25">
      <c r="U162" s="21"/>
    </row>
    <row r="163" spans="1:38" x14ac:dyDescent="0.25">
      <c r="T163" s="21">
        <f>+T164-'[1]ACUMULADO INVERSION 2016'!$Z$111-'[1]ACUMULADO INVERSION 2016'!$Z$120</f>
        <v>127746688.27999997</v>
      </c>
      <c r="U163" s="21"/>
    </row>
    <row r="164" spans="1:38" x14ac:dyDescent="0.25">
      <c r="A164" s="29" t="s">
        <v>53</v>
      </c>
      <c r="B164" s="9"/>
      <c r="C164" s="30">
        <f>+C75+C63+C79</f>
        <v>338024913.99894738</v>
      </c>
      <c r="D164" s="30">
        <f>+D75+D63+D79</f>
        <v>103098761.2</v>
      </c>
      <c r="E164" s="30">
        <f>+E75+E63+E79</f>
        <v>441123675.19894737</v>
      </c>
      <c r="F164" s="30"/>
      <c r="G164" s="30"/>
      <c r="H164" s="30"/>
      <c r="I164" s="30">
        <f t="shared" ref="I164:U164" si="141">+I75+I63+I79</f>
        <v>331690124</v>
      </c>
      <c r="J164" s="30">
        <f t="shared" si="141"/>
        <v>60284164.600000001</v>
      </c>
      <c r="K164" s="30">
        <f t="shared" si="141"/>
        <v>391974288.60000002</v>
      </c>
      <c r="L164" s="30">
        <f t="shared" si="141"/>
        <v>6334789.998947382</v>
      </c>
      <c r="M164" s="30">
        <f t="shared" si="141"/>
        <v>31948358.849999998</v>
      </c>
      <c r="N164" s="30">
        <f t="shared" si="141"/>
        <v>322405384.63000005</v>
      </c>
      <c r="O164" s="30">
        <f t="shared" si="141"/>
        <v>62111536.170000002</v>
      </c>
      <c r="P164" s="30">
        <f t="shared" si="141"/>
        <v>384516920.80000001</v>
      </c>
      <c r="Q164" s="30">
        <f t="shared" si="141"/>
        <v>0</v>
      </c>
      <c r="R164" s="30">
        <f t="shared" si="141"/>
        <v>136857134.57999998</v>
      </c>
      <c r="S164" s="30">
        <f t="shared" si="141"/>
        <v>35125250.509999998</v>
      </c>
      <c r="T164" s="30">
        <f t="shared" si="141"/>
        <v>171982385.08999997</v>
      </c>
      <c r="U164" s="30">
        <f t="shared" si="141"/>
        <v>0</v>
      </c>
      <c r="Z164" s="32">
        <f>+N164/I164</f>
        <v>0.97200779071130872</v>
      </c>
      <c r="AA164" s="32">
        <f>+O164/J164</f>
        <v>1.0303126298941863</v>
      </c>
      <c r="AB164" s="32">
        <f>+P164/K164</f>
        <v>0.98097485468591517</v>
      </c>
      <c r="AC164" s="12"/>
      <c r="AD164" s="12"/>
      <c r="AE164" s="31">
        <f>+R164/I164</f>
        <v>0.41260539484739073</v>
      </c>
      <c r="AF164" s="31">
        <f>+S164/J164</f>
        <v>0.58266131318339609</v>
      </c>
      <c r="AG164" s="31">
        <f>+T164/K164</f>
        <v>0.43875935256943271</v>
      </c>
      <c r="AH164" s="12"/>
      <c r="AI164" s="12"/>
      <c r="AJ164" s="30">
        <f>+I164-N164</f>
        <v>9284739.3699999452</v>
      </c>
      <c r="AK164" s="30">
        <f>+J164-O164</f>
        <v>-1827371.5700000003</v>
      </c>
      <c r="AL164" s="30">
        <f>+K164-P164</f>
        <v>7457367.8000000119</v>
      </c>
    </row>
    <row r="166" spans="1:38" ht="18.75" x14ac:dyDescent="0.25">
      <c r="A166" s="155" t="s">
        <v>95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</row>
    <row r="167" spans="1:38" ht="78" customHeight="1" x14ac:dyDescent="0.25">
      <c r="A167" s="155" t="s">
        <v>103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</row>
    <row r="168" spans="1:38" x14ac:dyDescent="0.25">
      <c r="A168" s="153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</row>
  </sheetData>
  <mergeCells count="32">
    <mergeCell ref="Z77:AB77"/>
    <mergeCell ref="AE77:AG77"/>
    <mergeCell ref="AJ77:AL77"/>
    <mergeCell ref="AP11:AR11"/>
    <mergeCell ref="AS11:AU11"/>
    <mergeCell ref="AP6:AU6"/>
    <mergeCell ref="AJ5:AL5"/>
    <mergeCell ref="AJ67:AL67"/>
    <mergeCell ref="AK4:AL4"/>
    <mergeCell ref="A1:T1"/>
    <mergeCell ref="S4:T4"/>
    <mergeCell ref="C5:E5"/>
    <mergeCell ref="I5:K5"/>
    <mergeCell ref="N5:P5"/>
    <mergeCell ref="R5:T5"/>
    <mergeCell ref="F5:H5"/>
    <mergeCell ref="A168:T168"/>
    <mergeCell ref="A167:T167"/>
    <mergeCell ref="AE5:AG5"/>
    <mergeCell ref="Z5:AB5"/>
    <mergeCell ref="A7:T7"/>
    <mergeCell ref="C67:E67"/>
    <mergeCell ref="I67:K67"/>
    <mergeCell ref="N67:P67"/>
    <mergeCell ref="R67:T67"/>
    <mergeCell ref="AE67:AG67"/>
    <mergeCell ref="Z67:AB67"/>
    <mergeCell ref="A166:T166"/>
    <mergeCell ref="C77:E77"/>
    <mergeCell ref="I77:K77"/>
    <mergeCell ref="N77:P77"/>
    <mergeCell ref="R77:T77"/>
  </mergeCells>
  <pageMargins left="1.4" right="0.55118110236220474" top="0.74803149606299213" bottom="0.35433070866141736" header="0.31496062992125984" footer="0.31496062992125984"/>
  <pageSetup paperSize="5" scale="42" fitToHeight="2" orientation="landscape" r:id="rId1"/>
  <rowBreaks count="1" manualBreakCount="1">
    <brk id="64" max="29" man="1"/>
  </rowBreaks>
  <colBreaks count="1" manualBreakCount="1">
    <brk id="30" max="1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8"/>
  <sheetViews>
    <sheetView tabSelected="1" view="pageBreakPreview" zoomScale="115" zoomScaleNormal="106" zoomScaleSheetLayoutView="115" workbookViewId="0">
      <pane xSplit="1" topLeftCell="B1" activePane="topRight" state="frozen"/>
      <selection activeCell="A10" sqref="A10"/>
      <selection pane="topRight" activeCell="D17" sqref="D17"/>
    </sheetView>
  </sheetViews>
  <sheetFormatPr baseColWidth="10" defaultColWidth="11.42578125" defaultRowHeight="15" x14ac:dyDescent="0.25"/>
  <cols>
    <col min="1" max="1" width="47.5703125" style="7" customWidth="1"/>
    <col min="2" max="2" width="14.7109375" style="21" bestFit="1" customWidth="1"/>
    <col min="3" max="3" width="14.5703125" style="21" bestFit="1" customWidth="1"/>
    <col min="4" max="5" width="14.140625" style="21" bestFit="1" customWidth="1"/>
    <col min="6" max="6" width="16.42578125" style="21" customWidth="1"/>
    <col min="7" max="7" width="14.28515625" style="21" bestFit="1" customWidth="1"/>
    <col min="8" max="8" width="14.28515625" style="21" customWidth="1"/>
    <col min="9" max="9" width="15.140625" style="21" bestFit="1" customWidth="1"/>
    <col min="10" max="10" width="15.5703125" style="21" customWidth="1"/>
    <col min="11" max="11" width="14.28515625" style="21" bestFit="1" customWidth="1"/>
    <col min="12" max="12" width="16.85546875" style="21" bestFit="1" customWidth="1"/>
    <col min="13" max="13" width="16.140625" style="21" bestFit="1" customWidth="1"/>
    <col min="14" max="14" width="3.7109375" style="7" bestFit="1" customWidth="1"/>
    <col min="15" max="15" width="1.5703125" style="7" hidden="1" customWidth="1"/>
    <col min="16" max="16" width="0" style="7" hidden="1" customWidth="1"/>
    <col min="17" max="18" width="15" style="8" hidden="1" customWidth="1"/>
    <col min="19" max="19" width="9.42578125" style="50" bestFit="1" customWidth="1"/>
    <col min="20" max="20" width="13" style="50" customWidth="1"/>
    <col min="21" max="21" width="11.85546875" style="50" customWidth="1"/>
    <col min="22" max="22" width="2" style="50" hidden="1" customWidth="1"/>
    <col min="23" max="23" width="2" style="50" customWidth="1"/>
    <col min="24" max="16384" width="11.42578125" style="1"/>
  </cols>
  <sheetData>
    <row r="1" spans="1:23" ht="18" x14ac:dyDescent="0.25">
      <c r="A1" s="169" t="s">
        <v>119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6"/>
      <c r="S1" s="7"/>
      <c r="T1" s="7"/>
      <c r="U1" s="7"/>
      <c r="V1" s="7"/>
      <c r="W1" s="7"/>
    </row>
    <row r="2" spans="1:23" ht="18" x14ac:dyDescent="0.25">
      <c r="A2" s="6"/>
      <c r="B2" s="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"/>
      <c r="S2" s="7"/>
      <c r="T2" s="7"/>
      <c r="U2" s="7"/>
      <c r="V2" s="7"/>
      <c r="W2" s="7"/>
    </row>
    <row r="3" spans="1:23" ht="18" x14ac:dyDescent="0.25">
      <c r="A3" s="6"/>
      <c r="B3" s="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"/>
      <c r="S3" s="7"/>
      <c r="T3" s="7"/>
      <c r="U3" s="7"/>
      <c r="V3" s="7"/>
      <c r="W3" s="7"/>
    </row>
    <row r="4" spans="1:23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67">
        <v>43010</v>
      </c>
      <c r="M4" s="167"/>
      <c r="N4" s="9"/>
      <c r="S4" s="10"/>
      <c r="T4" s="12"/>
      <c r="U4" s="12"/>
      <c r="V4" s="12"/>
      <c r="W4" s="12"/>
    </row>
    <row r="5" spans="1:23" ht="33.75" customHeight="1" x14ac:dyDescent="0.25">
      <c r="A5" s="13" t="s">
        <v>0</v>
      </c>
      <c r="B5" s="173" t="s">
        <v>52</v>
      </c>
      <c r="C5" s="174"/>
      <c r="D5" s="175"/>
      <c r="E5" s="173" t="s">
        <v>1</v>
      </c>
      <c r="F5" s="174"/>
      <c r="G5" s="175"/>
      <c r="H5" s="173" t="s">
        <v>2</v>
      </c>
      <c r="I5" s="174"/>
      <c r="J5" s="175"/>
      <c r="K5" s="173" t="s">
        <v>3</v>
      </c>
      <c r="L5" s="174"/>
      <c r="M5" s="175"/>
      <c r="N5" s="9"/>
      <c r="S5" s="173" t="s">
        <v>57</v>
      </c>
      <c r="T5" s="174"/>
      <c r="U5" s="175"/>
      <c r="V5" s="12"/>
      <c r="W5" s="12"/>
    </row>
    <row r="6" spans="1:23" ht="15" customHeight="1" x14ac:dyDescent="0.25">
      <c r="A6" s="13"/>
      <c r="B6" s="15" t="s">
        <v>4</v>
      </c>
      <c r="C6" s="15" t="s">
        <v>5</v>
      </c>
      <c r="D6" s="15" t="s">
        <v>6</v>
      </c>
      <c r="E6" s="15" t="s">
        <v>4</v>
      </c>
      <c r="F6" s="15" t="s">
        <v>5</v>
      </c>
      <c r="G6" s="118" t="s">
        <v>6</v>
      </c>
      <c r="H6" s="127" t="s">
        <v>4</v>
      </c>
      <c r="I6" s="15" t="s">
        <v>5</v>
      </c>
      <c r="J6" s="128" t="s">
        <v>6</v>
      </c>
      <c r="K6" s="122" t="s">
        <v>4</v>
      </c>
      <c r="L6" s="15" t="s">
        <v>5</v>
      </c>
      <c r="M6" s="15" t="s">
        <v>6</v>
      </c>
      <c r="N6" s="9"/>
      <c r="S6" s="17" t="s">
        <v>4</v>
      </c>
      <c r="T6" s="17" t="s">
        <v>5</v>
      </c>
      <c r="U6" s="17" t="s">
        <v>6</v>
      </c>
      <c r="V6" s="12"/>
      <c r="W6" s="12"/>
    </row>
    <row r="7" spans="1:23" ht="21" customHeight="1" x14ac:dyDescent="0.25">
      <c r="A7" s="96" t="s">
        <v>101</v>
      </c>
      <c r="B7" s="97"/>
      <c r="C7" s="98"/>
      <c r="D7" s="98"/>
      <c r="E7" s="98"/>
      <c r="F7" s="98"/>
      <c r="G7" s="98"/>
      <c r="H7" s="129"/>
      <c r="I7" s="98"/>
      <c r="J7" s="130"/>
      <c r="K7" s="98"/>
      <c r="L7" s="98"/>
      <c r="M7" s="98"/>
      <c r="N7" s="9"/>
      <c r="P7" s="1"/>
      <c r="Q7" s="1"/>
      <c r="R7" s="1"/>
      <c r="S7" s="1"/>
      <c r="T7" s="1"/>
      <c r="U7" s="1"/>
      <c r="V7" s="12"/>
      <c r="W7" s="12"/>
    </row>
    <row r="8" spans="1:23" s="2" customFormat="1" ht="24" x14ac:dyDescent="0.25">
      <c r="A8" s="88" t="s">
        <v>163</v>
      </c>
      <c r="B8" s="89">
        <v>42720000</v>
      </c>
      <c r="C8" s="89">
        <v>10680000</v>
      </c>
      <c r="D8" s="89">
        <v>53400000</v>
      </c>
      <c r="E8" s="89">
        <v>42720000</v>
      </c>
      <c r="F8" s="89">
        <v>10680000</v>
      </c>
      <c r="G8" s="119">
        <v>53400000</v>
      </c>
      <c r="H8" s="131">
        <v>22191840</v>
      </c>
      <c r="I8" s="89">
        <v>5547960</v>
      </c>
      <c r="J8" s="132">
        <v>27739800</v>
      </c>
      <c r="K8" s="123">
        <v>2952439.3599999994</v>
      </c>
      <c r="L8" s="89">
        <v>699968.62</v>
      </c>
      <c r="M8" s="89">
        <v>3652407.9799999995</v>
      </c>
      <c r="N8" s="24"/>
      <c r="O8" s="43"/>
      <c r="P8" s="43"/>
      <c r="Q8" s="44"/>
      <c r="R8" s="44"/>
      <c r="S8" s="32">
        <v>0.5194719101123596</v>
      </c>
      <c r="T8" s="32">
        <v>0.5194719101123596</v>
      </c>
      <c r="U8" s="32">
        <v>0.5194719101123596</v>
      </c>
      <c r="V8" s="91"/>
      <c r="W8" s="91"/>
    </row>
    <row r="9" spans="1:23" x14ac:dyDescent="0.25">
      <c r="A9" s="92" t="s">
        <v>150</v>
      </c>
      <c r="B9" s="18">
        <v>20145576</v>
      </c>
      <c r="C9" s="18">
        <v>5036394</v>
      </c>
      <c r="D9" s="18">
        <v>25181970</v>
      </c>
      <c r="E9" s="18">
        <v>20145576</v>
      </c>
      <c r="F9" s="18">
        <v>5036394</v>
      </c>
      <c r="G9" s="120">
        <v>25181970</v>
      </c>
      <c r="H9" s="133">
        <v>10102578.399999999</v>
      </c>
      <c r="I9" s="18">
        <v>2525644.5999999996</v>
      </c>
      <c r="J9" s="134">
        <v>12628222.999999998</v>
      </c>
      <c r="K9" s="18">
        <v>209800</v>
      </c>
      <c r="L9" s="18">
        <v>22000</v>
      </c>
      <c r="M9" s="18">
        <v>231800</v>
      </c>
      <c r="N9" s="9"/>
      <c r="S9" s="20">
        <v>0.50147875642771389</v>
      </c>
      <c r="T9" s="20">
        <v>0.50147875642771389</v>
      </c>
      <c r="U9" s="20">
        <v>0.50147875642771389</v>
      </c>
      <c r="V9" s="12"/>
      <c r="W9" s="12"/>
    </row>
    <row r="10" spans="1:23" x14ac:dyDescent="0.25">
      <c r="A10" s="92" t="s">
        <v>151</v>
      </c>
      <c r="B10" s="18">
        <v>18166584</v>
      </c>
      <c r="C10" s="18">
        <v>4541646</v>
      </c>
      <c r="D10" s="18">
        <v>22708230</v>
      </c>
      <c r="E10" s="18">
        <v>18166584</v>
      </c>
      <c r="F10" s="18">
        <v>4541646</v>
      </c>
      <c r="G10" s="120">
        <v>22708230</v>
      </c>
      <c r="H10" s="133">
        <v>10081421.6</v>
      </c>
      <c r="I10" s="18">
        <v>2520355.4</v>
      </c>
      <c r="J10" s="134">
        <v>12601777</v>
      </c>
      <c r="K10" s="18">
        <v>1692032</v>
      </c>
      <c r="L10" s="18">
        <v>423008</v>
      </c>
      <c r="M10" s="18">
        <v>2115040</v>
      </c>
      <c r="N10" s="9"/>
      <c r="S10" s="20">
        <v>0.5549431637780663</v>
      </c>
      <c r="T10" s="20">
        <v>0.5549431637780663</v>
      </c>
      <c r="U10" s="20">
        <v>0.55494316377806641</v>
      </c>
      <c r="V10" s="12"/>
      <c r="W10" s="12"/>
    </row>
    <row r="11" spans="1:23" x14ac:dyDescent="0.25">
      <c r="A11" s="92" t="s">
        <v>152</v>
      </c>
      <c r="B11" s="18">
        <v>2400000</v>
      </c>
      <c r="C11" s="18">
        <v>600000</v>
      </c>
      <c r="D11" s="18">
        <v>3000000</v>
      </c>
      <c r="E11" s="18">
        <v>2400000</v>
      </c>
      <c r="F11" s="18">
        <v>600000</v>
      </c>
      <c r="G11" s="120">
        <v>3000000</v>
      </c>
      <c r="H11" s="133"/>
      <c r="I11" s="18"/>
      <c r="J11" s="134">
        <v>0</v>
      </c>
      <c r="K11" s="124"/>
      <c r="L11" s="87"/>
      <c r="M11" s="18">
        <v>0</v>
      </c>
      <c r="N11" s="9"/>
      <c r="S11" s="20">
        <v>0</v>
      </c>
      <c r="T11" s="20">
        <v>0</v>
      </c>
      <c r="U11" s="20">
        <v>0</v>
      </c>
      <c r="V11" s="12"/>
      <c r="W11" s="12"/>
    </row>
    <row r="12" spans="1:23" x14ac:dyDescent="0.25">
      <c r="A12" s="92" t="s">
        <v>153</v>
      </c>
      <c r="B12" s="18">
        <v>1708800</v>
      </c>
      <c r="C12" s="18">
        <v>427200</v>
      </c>
      <c r="D12" s="18">
        <v>2136000</v>
      </c>
      <c r="E12" s="18">
        <v>1708800</v>
      </c>
      <c r="F12" s="18">
        <v>427200</v>
      </c>
      <c r="G12" s="120">
        <v>2136000</v>
      </c>
      <c r="H12" s="133">
        <v>1708800</v>
      </c>
      <c r="I12" s="18">
        <v>427200</v>
      </c>
      <c r="J12" s="134">
        <v>2136000</v>
      </c>
      <c r="K12" s="125">
        <v>924767.01999999979</v>
      </c>
      <c r="L12" s="18">
        <v>223500.54</v>
      </c>
      <c r="M12" s="18">
        <v>1148267.5599999998</v>
      </c>
      <c r="N12" s="9"/>
      <c r="S12" s="20">
        <v>1</v>
      </c>
      <c r="T12" s="20">
        <v>1</v>
      </c>
      <c r="U12" s="20">
        <v>1</v>
      </c>
      <c r="V12" s="12"/>
      <c r="W12" s="12"/>
    </row>
    <row r="13" spans="1:23" x14ac:dyDescent="0.25">
      <c r="A13" s="92" t="s">
        <v>154</v>
      </c>
      <c r="B13" s="18">
        <v>299040</v>
      </c>
      <c r="C13" s="18">
        <v>74760</v>
      </c>
      <c r="D13" s="18">
        <v>373800</v>
      </c>
      <c r="E13" s="18">
        <v>299040</v>
      </c>
      <c r="F13" s="18">
        <v>74760</v>
      </c>
      <c r="G13" s="120">
        <v>373800</v>
      </c>
      <c r="H13" s="133">
        <v>299040</v>
      </c>
      <c r="I13" s="18">
        <v>74760</v>
      </c>
      <c r="J13" s="134">
        <v>373800</v>
      </c>
      <c r="K13" s="125">
        <v>125840.33999999998</v>
      </c>
      <c r="L13" s="18">
        <v>31460.079999999994</v>
      </c>
      <c r="M13" s="18">
        <v>157300.41999999998</v>
      </c>
      <c r="N13" s="9"/>
      <c r="S13" s="20">
        <v>1</v>
      </c>
      <c r="T13" s="20">
        <v>1</v>
      </c>
      <c r="U13" s="20">
        <v>1</v>
      </c>
      <c r="V13" s="12"/>
      <c r="W13" s="12"/>
    </row>
    <row r="14" spans="1:23" s="2" customFormat="1" ht="24" x14ac:dyDescent="0.25">
      <c r="A14" s="88" t="s">
        <v>126</v>
      </c>
      <c r="B14" s="89">
        <v>10680000</v>
      </c>
      <c r="C14" s="89">
        <v>2670000</v>
      </c>
      <c r="D14" s="89">
        <v>13350000</v>
      </c>
      <c r="E14" s="89">
        <v>10680000</v>
      </c>
      <c r="F14" s="89">
        <v>2670000</v>
      </c>
      <c r="G14" s="119">
        <v>13350000</v>
      </c>
      <c r="H14" s="131">
        <v>1351920</v>
      </c>
      <c r="I14" s="89">
        <v>337980</v>
      </c>
      <c r="J14" s="132">
        <v>1689900</v>
      </c>
      <c r="K14" s="123">
        <v>1234987.2</v>
      </c>
      <c r="L14" s="89">
        <v>265890</v>
      </c>
      <c r="M14" s="89">
        <v>1500877.2</v>
      </c>
      <c r="N14" s="24"/>
      <c r="O14" s="43"/>
      <c r="P14" s="43"/>
      <c r="Q14" s="44"/>
      <c r="R14" s="44"/>
      <c r="S14" s="32">
        <v>0.12658426966292136</v>
      </c>
      <c r="T14" s="32">
        <v>0.12658426966292136</v>
      </c>
      <c r="U14" s="32">
        <v>0.12658426966292136</v>
      </c>
      <c r="V14" s="91"/>
      <c r="W14" s="91"/>
    </row>
    <row r="15" spans="1:23" x14ac:dyDescent="0.25">
      <c r="A15" s="92" t="s">
        <v>150</v>
      </c>
      <c r="B15" s="18">
        <v>10178040</v>
      </c>
      <c r="C15" s="18">
        <v>2544510</v>
      </c>
      <c r="D15" s="18">
        <v>12722550</v>
      </c>
      <c r="E15" s="18">
        <v>10178040</v>
      </c>
      <c r="F15" s="18">
        <v>2544510</v>
      </c>
      <c r="G15" s="120">
        <v>12722550</v>
      </c>
      <c r="H15" s="133">
        <v>849960</v>
      </c>
      <c r="I15" s="18">
        <v>212490</v>
      </c>
      <c r="J15" s="134">
        <v>1062450</v>
      </c>
      <c r="K15" s="125">
        <v>849960</v>
      </c>
      <c r="L15" s="18">
        <v>212490</v>
      </c>
      <c r="M15" s="18">
        <v>1062450</v>
      </c>
      <c r="N15" s="9"/>
      <c r="S15" s="20">
        <v>8.3509202164660387E-2</v>
      </c>
      <c r="T15" s="20">
        <v>8.3509202164660387E-2</v>
      </c>
      <c r="U15" s="20">
        <v>8.3509202164660387E-2</v>
      </c>
      <c r="V15" s="12"/>
      <c r="W15" s="12"/>
    </row>
    <row r="16" spans="1:23" x14ac:dyDescent="0.25">
      <c r="A16" s="92" t="s">
        <v>153</v>
      </c>
      <c r="B16" s="18">
        <v>427200</v>
      </c>
      <c r="C16" s="18">
        <v>106800</v>
      </c>
      <c r="D16" s="18">
        <v>534000</v>
      </c>
      <c r="E16" s="18">
        <v>427200</v>
      </c>
      <c r="F16" s="18">
        <v>106800</v>
      </c>
      <c r="G16" s="120">
        <v>534000</v>
      </c>
      <c r="H16" s="133">
        <v>427200</v>
      </c>
      <c r="I16" s="18">
        <v>106800</v>
      </c>
      <c r="J16" s="134">
        <v>534000</v>
      </c>
      <c r="K16" s="125">
        <v>385027.2</v>
      </c>
      <c r="L16" s="18">
        <v>53400</v>
      </c>
      <c r="M16" s="18">
        <v>438427.2</v>
      </c>
      <c r="N16" s="9"/>
      <c r="S16" s="20">
        <v>1</v>
      </c>
      <c r="T16" s="20">
        <v>1</v>
      </c>
      <c r="U16" s="20">
        <v>1</v>
      </c>
      <c r="V16" s="12"/>
      <c r="W16" s="12"/>
    </row>
    <row r="17" spans="1:23" x14ac:dyDescent="0.25">
      <c r="A17" s="92" t="s">
        <v>154</v>
      </c>
      <c r="B17" s="18">
        <v>74760</v>
      </c>
      <c r="C17" s="18">
        <v>18690</v>
      </c>
      <c r="D17" s="18">
        <v>93450</v>
      </c>
      <c r="E17" s="18">
        <v>74760</v>
      </c>
      <c r="F17" s="18">
        <v>18690</v>
      </c>
      <c r="G17" s="120">
        <v>93450</v>
      </c>
      <c r="H17" s="133">
        <v>74760</v>
      </c>
      <c r="I17" s="18">
        <v>18690</v>
      </c>
      <c r="J17" s="134">
        <v>93450</v>
      </c>
      <c r="K17" s="124"/>
      <c r="L17" s="18"/>
      <c r="M17" s="18">
        <v>0</v>
      </c>
      <c r="N17" s="9"/>
      <c r="S17" s="20">
        <v>1</v>
      </c>
      <c r="T17" s="20">
        <v>1</v>
      </c>
      <c r="U17" s="20">
        <v>1</v>
      </c>
      <c r="V17" s="12"/>
      <c r="W17" s="12"/>
    </row>
    <row r="18" spans="1:23" ht="24" x14ac:dyDescent="0.25">
      <c r="A18" s="29" t="s">
        <v>28</v>
      </c>
      <c r="B18" s="30">
        <v>53400000</v>
      </c>
      <c r="C18" s="30">
        <v>13350000</v>
      </c>
      <c r="D18" s="30">
        <v>66750000</v>
      </c>
      <c r="E18" s="30">
        <v>53400000</v>
      </c>
      <c r="F18" s="30">
        <v>13350000</v>
      </c>
      <c r="G18" s="121">
        <v>66750000</v>
      </c>
      <c r="H18" s="135">
        <v>23543760</v>
      </c>
      <c r="I18" s="30">
        <v>5885940</v>
      </c>
      <c r="J18" s="136">
        <v>29429700</v>
      </c>
      <c r="K18" s="126">
        <v>4187426.5599999996</v>
      </c>
      <c r="L18" s="30">
        <v>965858.62</v>
      </c>
      <c r="M18" s="30">
        <v>5153285.18</v>
      </c>
      <c r="N18" s="9"/>
      <c r="S18" s="32">
        <v>0.44089438202247189</v>
      </c>
      <c r="T18" s="32">
        <v>0.44089438202247189</v>
      </c>
      <c r="U18" s="32">
        <v>0.44089438202247189</v>
      </c>
      <c r="V18" s="12"/>
      <c r="W18" s="12"/>
    </row>
    <row r="19" spans="1:23" ht="24" x14ac:dyDescent="0.25">
      <c r="A19" s="4" t="s">
        <v>127</v>
      </c>
      <c r="B19" s="18">
        <v>11970000</v>
      </c>
      <c r="C19" s="18">
        <v>2992500</v>
      </c>
      <c r="D19" s="18">
        <v>14962500</v>
      </c>
      <c r="E19" s="18">
        <v>11970000</v>
      </c>
      <c r="F19" s="18">
        <v>2992500</v>
      </c>
      <c r="G19" s="120">
        <v>14962500</v>
      </c>
      <c r="H19" s="133">
        <v>11848000</v>
      </c>
      <c r="I19" s="18">
        <v>2962000</v>
      </c>
      <c r="J19" s="134">
        <v>14810000</v>
      </c>
      <c r="K19" s="125">
        <v>1407000</v>
      </c>
      <c r="L19" s="18">
        <v>963000</v>
      </c>
      <c r="M19" s="18">
        <v>2370000</v>
      </c>
      <c r="N19" s="9"/>
      <c r="S19" s="20">
        <v>0.98980785296574769</v>
      </c>
      <c r="T19" s="20">
        <v>0.98980785296574769</v>
      </c>
      <c r="U19" s="20">
        <v>0.98980785296574769</v>
      </c>
      <c r="V19" s="12"/>
      <c r="W19" s="12"/>
    </row>
    <row r="20" spans="1:23" x14ac:dyDescent="0.25">
      <c r="A20" s="22" t="s">
        <v>144</v>
      </c>
      <c r="B20" s="18">
        <v>252000</v>
      </c>
      <c r="C20" s="18">
        <v>63000</v>
      </c>
      <c r="D20" s="18">
        <v>315000</v>
      </c>
      <c r="E20" s="18">
        <v>252000</v>
      </c>
      <c r="F20" s="18">
        <v>63000</v>
      </c>
      <c r="G20" s="120">
        <v>315000</v>
      </c>
      <c r="H20" s="133">
        <v>252000</v>
      </c>
      <c r="I20" s="18">
        <v>63000</v>
      </c>
      <c r="J20" s="134">
        <v>315000</v>
      </c>
      <c r="K20" s="125">
        <v>65757.86</v>
      </c>
      <c r="L20" s="18">
        <v>9488.24</v>
      </c>
      <c r="M20" s="18">
        <v>75246.100000000006</v>
      </c>
      <c r="N20" s="9"/>
      <c r="S20" s="20">
        <v>1</v>
      </c>
      <c r="T20" s="20">
        <v>1</v>
      </c>
      <c r="U20" s="20">
        <v>1</v>
      </c>
      <c r="V20" s="12"/>
      <c r="W20" s="12"/>
    </row>
    <row r="21" spans="1:23" x14ac:dyDescent="0.25">
      <c r="A21" s="22" t="s">
        <v>145</v>
      </c>
      <c r="B21" s="18">
        <v>252000</v>
      </c>
      <c r="C21" s="18">
        <v>63000</v>
      </c>
      <c r="D21" s="18">
        <v>315000</v>
      </c>
      <c r="E21" s="18">
        <v>252000</v>
      </c>
      <c r="F21" s="18">
        <v>63000</v>
      </c>
      <c r="G21" s="120">
        <v>315000</v>
      </c>
      <c r="H21" s="133">
        <v>252000</v>
      </c>
      <c r="I21" s="18">
        <v>63000</v>
      </c>
      <c r="J21" s="134">
        <v>315000</v>
      </c>
      <c r="K21" s="125">
        <v>115137.94</v>
      </c>
      <c r="L21" s="18">
        <v>28784.489999999998</v>
      </c>
      <c r="M21" s="18">
        <v>143922.43</v>
      </c>
      <c r="N21" s="9"/>
      <c r="S21" s="20">
        <v>1</v>
      </c>
      <c r="T21" s="20">
        <v>1</v>
      </c>
      <c r="U21" s="20">
        <v>1</v>
      </c>
      <c r="V21" s="12"/>
      <c r="W21" s="12"/>
    </row>
    <row r="22" spans="1:23" x14ac:dyDescent="0.25">
      <c r="A22" s="22" t="s">
        <v>146</v>
      </c>
      <c r="B22" s="18">
        <v>126000</v>
      </c>
      <c r="C22" s="18">
        <v>31500</v>
      </c>
      <c r="D22" s="18">
        <v>157500</v>
      </c>
      <c r="E22" s="18">
        <v>126000</v>
      </c>
      <c r="F22" s="18">
        <v>31500</v>
      </c>
      <c r="G22" s="120">
        <v>157500</v>
      </c>
      <c r="H22" s="133">
        <v>126000</v>
      </c>
      <c r="I22" s="18">
        <v>31500</v>
      </c>
      <c r="J22" s="134">
        <v>157500</v>
      </c>
      <c r="K22" s="125"/>
      <c r="L22" s="18"/>
      <c r="M22" s="18">
        <v>0</v>
      </c>
      <c r="N22" s="9"/>
      <c r="S22" s="20">
        <v>1</v>
      </c>
      <c r="T22" s="20">
        <v>1</v>
      </c>
      <c r="U22" s="20">
        <v>1</v>
      </c>
      <c r="V22" s="12"/>
      <c r="W22" s="12"/>
    </row>
    <row r="23" spans="1:23" s="2" customFormat="1" x14ac:dyDescent="0.25">
      <c r="A23" s="88" t="s">
        <v>29</v>
      </c>
      <c r="B23" s="89">
        <v>12600000</v>
      </c>
      <c r="C23" s="89">
        <v>3150000</v>
      </c>
      <c r="D23" s="89">
        <v>15750000</v>
      </c>
      <c r="E23" s="89">
        <v>12600000</v>
      </c>
      <c r="F23" s="89">
        <v>3150000</v>
      </c>
      <c r="G23" s="119">
        <v>15750000</v>
      </c>
      <c r="H23" s="131">
        <v>12478000</v>
      </c>
      <c r="I23" s="89">
        <v>3119500</v>
      </c>
      <c r="J23" s="132">
        <v>15597500</v>
      </c>
      <c r="K23" s="123">
        <v>1587895.8</v>
      </c>
      <c r="L23" s="89">
        <v>1001272.73</v>
      </c>
      <c r="M23" s="89">
        <v>2589168.5300000003</v>
      </c>
      <c r="N23" s="24"/>
      <c r="O23" s="43"/>
      <c r="P23" s="43"/>
      <c r="Q23" s="44"/>
      <c r="R23" s="44"/>
      <c r="S23" s="32">
        <v>0.99031746031746026</v>
      </c>
      <c r="T23" s="32">
        <v>0.99031746031746026</v>
      </c>
      <c r="U23" s="32">
        <v>0.99031746031746026</v>
      </c>
      <c r="V23" s="91"/>
      <c r="W23" s="91"/>
    </row>
    <row r="24" spans="1:23" ht="24" x14ac:dyDescent="0.25">
      <c r="A24" s="4" t="s">
        <v>27</v>
      </c>
      <c r="B24" s="18">
        <v>9120000</v>
      </c>
      <c r="C24" s="18">
        <v>2280000</v>
      </c>
      <c r="D24" s="18">
        <v>11400000</v>
      </c>
      <c r="E24" s="18">
        <v>8937600</v>
      </c>
      <c r="F24" s="18">
        <v>2280000</v>
      </c>
      <c r="G24" s="120">
        <v>11217600</v>
      </c>
      <c r="H24" s="133">
        <v>8479985.5999999996</v>
      </c>
      <c r="I24" s="18">
        <v>2165596.4</v>
      </c>
      <c r="J24" s="134">
        <v>10645582</v>
      </c>
      <c r="K24" s="125">
        <v>1422954.3399999996</v>
      </c>
      <c r="L24" s="18">
        <v>366883.26999999996</v>
      </c>
      <c r="M24" s="18">
        <v>1789837.6099999996</v>
      </c>
      <c r="N24" s="9"/>
      <c r="S24" s="20">
        <v>0.94879896168993905</v>
      </c>
      <c r="T24" s="20">
        <v>0.94982298245614027</v>
      </c>
      <c r="U24" s="20">
        <v>0.94900709599201261</v>
      </c>
      <c r="V24" s="12"/>
      <c r="W24" s="12"/>
    </row>
    <row r="25" spans="1:23" x14ac:dyDescent="0.25">
      <c r="A25" s="22" t="s">
        <v>140</v>
      </c>
      <c r="B25" s="18">
        <v>196800</v>
      </c>
      <c r="C25" s="18">
        <v>49200</v>
      </c>
      <c r="D25" s="18">
        <v>246000</v>
      </c>
      <c r="E25" s="18">
        <v>196800</v>
      </c>
      <c r="F25" s="18">
        <v>49200</v>
      </c>
      <c r="G25" s="120">
        <v>246000</v>
      </c>
      <c r="H25" s="133">
        <v>196800</v>
      </c>
      <c r="I25" s="18">
        <v>49200</v>
      </c>
      <c r="J25" s="134">
        <v>246000</v>
      </c>
      <c r="K25" s="125">
        <v>79338.069999999992</v>
      </c>
      <c r="L25" s="18">
        <v>44842.1</v>
      </c>
      <c r="M25" s="18">
        <v>124180.16999999998</v>
      </c>
      <c r="N25" s="9"/>
      <c r="S25" s="20">
        <v>1</v>
      </c>
      <c r="T25" s="20">
        <v>1</v>
      </c>
      <c r="U25" s="20">
        <v>1</v>
      </c>
      <c r="V25" s="12"/>
      <c r="W25" s="12"/>
    </row>
    <row r="26" spans="1:23" x14ac:dyDescent="0.25">
      <c r="A26" s="22" t="s">
        <v>141</v>
      </c>
      <c r="B26" s="18">
        <v>192000</v>
      </c>
      <c r="C26" s="18">
        <v>48000</v>
      </c>
      <c r="D26" s="18">
        <v>240000</v>
      </c>
      <c r="E26" s="18">
        <v>192000</v>
      </c>
      <c r="F26" s="18">
        <v>48000</v>
      </c>
      <c r="G26" s="120">
        <v>240000</v>
      </c>
      <c r="H26" s="133">
        <v>192000</v>
      </c>
      <c r="I26" s="18">
        <v>48000</v>
      </c>
      <c r="J26" s="134">
        <v>240000</v>
      </c>
      <c r="K26" s="125">
        <v>76267.91</v>
      </c>
      <c r="L26" s="18">
        <v>19066.990000000002</v>
      </c>
      <c r="M26" s="18">
        <v>95334.900000000009</v>
      </c>
      <c r="N26" s="9"/>
      <c r="S26" s="20">
        <v>1</v>
      </c>
      <c r="T26" s="20">
        <v>1</v>
      </c>
      <c r="U26" s="20">
        <v>1</v>
      </c>
      <c r="V26" s="12"/>
      <c r="W26" s="12"/>
    </row>
    <row r="27" spans="1:23" x14ac:dyDescent="0.25">
      <c r="A27" s="22" t="s">
        <v>142</v>
      </c>
      <c r="B27" s="18">
        <v>67200</v>
      </c>
      <c r="C27" s="18">
        <v>16800</v>
      </c>
      <c r="D27" s="18">
        <v>84000</v>
      </c>
      <c r="E27" s="18">
        <v>67200</v>
      </c>
      <c r="F27" s="18">
        <v>16800</v>
      </c>
      <c r="G27" s="120">
        <v>84000</v>
      </c>
      <c r="H27" s="133">
        <v>67200</v>
      </c>
      <c r="I27" s="18">
        <v>16800</v>
      </c>
      <c r="J27" s="134">
        <v>84000</v>
      </c>
      <c r="K27" s="125"/>
      <c r="L27" s="18"/>
      <c r="M27" s="18">
        <v>0</v>
      </c>
      <c r="N27" s="9"/>
      <c r="S27" s="20">
        <v>1</v>
      </c>
      <c r="T27" s="20">
        <v>1</v>
      </c>
      <c r="U27" s="20">
        <v>1</v>
      </c>
      <c r="V27" s="12"/>
      <c r="W27" s="12"/>
    </row>
    <row r="28" spans="1:23" x14ac:dyDescent="0.25">
      <c r="A28" s="22" t="s">
        <v>143</v>
      </c>
      <c r="B28" s="18">
        <v>24000</v>
      </c>
      <c r="C28" s="18">
        <v>6000</v>
      </c>
      <c r="D28" s="18">
        <v>30000</v>
      </c>
      <c r="E28" s="18"/>
      <c r="F28" s="18">
        <v>6000</v>
      </c>
      <c r="G28" s="120">
        <v>6000</v>
      </c>
      <c r="H28" s="133"/>
      <c r="I28" s="18"/>
      <c r="J28" s="134">
        <v>0</v>
      </c>
      <c r="K28" s="125"/>
      <c r="L28" s="18"/>
      <c r="M28" s="18">
        <v>0</v>
      </c>
      <c r="N28" s="9"/>
      <c r="S28" s="20"/>
      <c r="T28" s="20">
        <v>0</v>
      </c>
      <c r="U28" s="20">
        <v>0</v>
      </c>
      <c r="V28" s="12"/>
      <c r="W28" s="12"/>
    </row>
    <row r="29" spans="1:23" s="2" customFormat="1" x14ac:dyDescent="0.25">
      <c r="A29" s="88" t="s">
        <v>30</v>
      </c>
      <c r="B29" s="89">
        <v>9600000</v>
      </c>
      <c r="C29" s="89">
        <v>2400000</v>
      </c>
      <c r="D29" s="89">
        <v>12000000</v>
      </c>
      <c r="E29" s="89">
        <v>9393600</v>
      </c>
      <c r="F29" s="89">
        <v>2400000</v>
      </c>
      <c r="G29" s="119">
        <v>11793600</v>
      </c>
      <c r="H29" s="131">
        <v>8935985.5999999996</v>
      </c>
      <c r="I29" s="89">
        <v>2279596.4</v>
      </c>
      <c r="J29" s="132">
        <v>11215582</v>
      </c>
      <c r="K29" s="123">
        <v>1578560.3199999996</v>
      </c>
      <c r="L29" s="89">
        <v>430792.35999999993</v>
      </c>
      <c r="M29" s="89">
        <v>2009352.6799999995</v>
      </c>
      <c r="N29" s="24"/>
      <c r="O29" s="43"/>
      <c r="P29" s="43"/>
      <c r="Q29" s="44"/>
      <c r="R29" s="44"/>
      <c r="S29" s="32">
        <v>0.95128444898654396</v>
      </c>
      <c r="T29" s="32">
        <v>0.94983183333333332</v>
      </c>
      <c r="U29" s="32">
        <v>0.9509888414055081</v>
      </c>
      <c r="V29" s="91"/>
      <c r="W29" s="91"/>
    </row>
    <row r="30" spans="1:23" ht="24.75" customHeight="1" x14ac:dyDescent="0.25">
      <c r="A30" s="4" t="s">
        <v>128</v>
      </c>
      <c r="B30" s="18">
        <v>87584000</v>
      </c>
      <c r="C30" s="18"/>
      <c r="D30" s="18">
        <v>87584000</v>
      </c>
      <c r="E30" s="18">
        <v>85299200</v>
      </c>
      <c r="F30" s="18"/>
      <c r="G30" s="120">
        <v>85299200</v>
      </c>
      <c r="H30" s="133">
        <v>46982600</v>
      </c>
      <c r="I30" s="18"/>
      <c r="J30" s="134">
        <v>46982600</v>
      </c>
      <c r="K30" s="125">
        <v>5622150</v>
      </c>
      <c r="L30" s="18"/>
      <c r="M30" s="18">
        <v>5622150</v>
      </c>
      <c r="N30" s="9"/>
      <c r="S30" s="20">
        <v>0.5507976628151261</v>
      </c>
      <c r="T30" s="20"/>
      <c r="U30" s="20">
        <v>0.5507976628151261</v>
      </c>
      <c r="V30" s="12"/>
      <c r="W30" s="12"/>
    </row>
    <row r="31" spans="1:23" x14ac:dyDescent="0.25">
      <c r="A31" s="110" t="s">
        <v>171</v>
      </c>
      <c r="B31" s="108">
        <v>1142400</v>
      </c>
      <c r="C31" s="109"/>
      <c r="D31" s="18">
        <v>1142400</v>
      </c>
      <c r="E31" s="18">
        <v>1142400</v>
      </c>
      <c r="F31" s="18"/>
      <c r="G31" s="120">
        <v>1142400</v>
      </c>
      <c r="H31" s="133">
        <v>1142400</v>
      </c>
      <c r="I31" s="18"/>
      <c r="J31" s="134">
        <v>1142400</v>
      </c>
      <c r="K31" s="125">
        <v>700203.22</v>
      </c>
      <c r="L31" s="18"/>
      <c r="M31" s="18">
        <v>700203.22</v>
      </c>
      <c r="N31" s="9"/>
      <c r="S31" s="20">
        <v>1</v>
      </c>
      <c r="T31" s="20"/>
      <c r="U31" s="20">
        <v>1</v>
      </c>
      <c r="V31" s="12"/>
      <c r="W31" s="12"/>
    </row>
    <row r="32" spans="1:23" x14ac:dyDescent="0.25">
      <c r="A32" s="110" t="s">
        <v>172</v>
      </c>
      <c r="B32" s="108">
        <v>742560</v>
      </c>
      <c r="C32" s="109"/>
      <c r="D32" s="18">
        <v>742560</v>
      </c>
      <c r="E32" s="18">
        <v>742560</v>
      </c>
      <c r="F32" s="18"/>
      <c r="G32" s="120">
        <v>742560</v>
      </c>
      <c r="H32" s="133">
        <v>742560</v>
      </c>
      <c r="I32" s="18"/>
      <c r="J32" s="134">
        <v>742560</v>
      </c>
      <c r="K32" s="125">
        <v>123627.12999999999</v>
      </c>
      <c r="L32" s="18"/>
      <c r="M32" s="18">
        <v>123627.12999999999</v>
      </c>
      <c r="N32" s="9"/>
      <c r="S32" s="20">
        <v>1</v>
      </c>
      <c r="T32" s="20"/>
      <c r="U32" s="20">
        <v>1</v>
      </c>
      <c r="V32" s="12"/>
      <c r="W32" s="12"/>
    </row>
    <row r="33" spans="1:23" x14ac:dyDescent="0.25">
      <c r="A33" s="110" t="s">
        <v>178</v>
      </c>
      <c r="B33" s="108">
        <v>5731040</v>
      </c>
      <c r="C33" s="108"/>
      <c r="D33" s="18">
        <v>5731040</v>
      </c>
      <c r="E33" s="18">
        <v>0</v>
      </c>
      <c r="F33" s="18"/>
      <c r="G33" s="120">
        <v>0</v>
      </c>
      <c r="H33" s="133"/>
      <c r="I33" s="18"/>
      <c r="J33" s="134">
        <v>0</v>
      </c>
      <c r="K33" s="125"/>
      <c r="L33" s="18"/>
      <c r="M33" s="18"/>
      <c r="N33" s="9"/>
      <c r="S33" s="20"/>
      <c r="T33" s="20"/>
      <c r="U33" s="20"/>
      <c r="V33" s="12"/>
      <c r="W33" s="12"/>
    </row>
    <row r="34" spans="1:23" s="2" customFormat="1" x14ac:dyDescent="0.25">
      <c r="A34" s="88" t="s">
        <v>31</v>
      </c>
      <c r="B34" s="89">
        <v>95200000</v>
      </c>
      <c r="C34" s="89">
        <v>0</v>
      </c>
      <c r="D34" s="89">
        <v>95200000</v>
      </c>
      <c r="E34" s="89">
        <v>87184160</v>
      </c>
      <c r="F34" s="89">
        <v>0</v>
      </c>
      <c r="G34" s="119">
        <v>87184160</v>
      </c>
      <c r="H34" s="131">
        <v>48867560</v>
      </c>
      <c r="I34" s="89">
        <v>0</v>
      </c>
      <c r="J34" s="132">
        <v>48867560</v>
      </c>
      <c r="K34" s="123">
        <v>6445980.3499999996</v>
      </c>
      <c r="L34" s="89">
        <v>0</v>
      </c>
      <c r="M34" s="89">
        <v>6445980.3499999996</v>
      </c>
      <c r="N34" s="24"/>
      <c r="O34" s="43"/>
      <c r="P34" s="43"/>
      <c r="Q34" s="44"/>
      <c r="R34" s="44"/>
      <c r="S34" s="32">
        <v>0.56050961550813816</v>
      </c>
      <c r="T34" s="32"/>
      <c r="U34" s="32">
        <v>0.56050961550813816</v>
      </c>
      <c r="V34" s="91"/>
      <c r="W34" s="91"/>
    </row>
    <row r="35" spans="1:23" ht="24" x14ac:dyDescent="0.25">
      <c r="A35" s="29" t="s">
        <v>129</v>
      </c>
      <c r="B35" s="30">
        <v>117400000</v>
      </c>
      <c r="C35" s="30">
        <v>5550000</v>
      </c>
      <c r="D35" s="30">
        <v>122950000</v>
      </c>
      <c r="E35" s="30">
        <v>109177760</v>
      </c>
      <c r="F35" s="30">
        <v>5550000</v>
      </c>
      <c r="G35" s="121">
        <v>114727760</v>
      </c>
      <c r="H35" s="135">
        <v>70281545.599999994</v>
      </c>
      <c r="I35" s="30">
        <v>5399096.4000000004</v>
      </c>
      <c r="J35" s="136">
        <v>75680642</v>
      </c>
      <c r="K35" s="126">
        <v>9612436.4699999988</v>
      </c>
      <c r="L35" s="30">
        <v>1432065.0899999999</v>
      </c>
      <c r="M35" s="30">
        <v>11044501.559999999</v>
      </c>
      <c r="N35" s="9"/>
      <c r="S35" s="32">
        <v>0.64373500244005732</v>
      </c>
      <c r="T35" s="32">
        <v>0.97281016216216221</v>
      </c>
      <c r="U35" s="32">
        <v>0.65965414124707045</v>
      </c>
      <c r="V35" s="12"/>
      <c r="W35" s="12"/>
    </row>
    <row r="36" spans="1:23" ht="25.5" customHeight="1" x14ac:dyDescent="0.25">
      <c r="A36" s="4" t="s">
        <v>164</v>
      </c>
      <c r="B36" s="18">
        <v>960000</v>
      </c>
      <c r="C36" s="18">
        <v>2112000</v>
      </c>
      <c r="D36" s="18">
        <v>3072000</v>
      </c>
      <c r="E36" s="18">
        <v>960000</v>
      </c>
      <c r="F36" s="18">
        <v>2112000</v>
      </c>
      <c r="G36" s="120">
        <v>3072000</v>
      </c>
      <c r="H36" s="133">
        <v>867387.49</v>
      </c>
      <c r="I36" s="18">
        <v>1531808.1800000002</v>
      </c>
      <c r="J36" s="134">
        <v>2399195.67</v>
      </c>
      <c r="K36" s="125">
        <v>410652.65</v>
      </c>
      <c r="L36" s="18">
        <v>772915.88000000012</v>
      </c>
      <c r="M36" s="18">
        <v>1183568.5300000003</v>
      </c>
      <c r="N36" s="9"/>
      <c r="S36" s="20">
        <v>0.90352863541666661</v>
      </c>
      <c r="T36" s="20">
        <v>0.72528796401515161</v>
      </c>
      <c r="U36" s="20">
        <v>0.78098817382812502</v>
      </c>
      <c r="V36" s="12"/>
      <c r="W36" s="12"/>
    </row>
    <row r="37" spans="1:23" ht="25.5" customHeight="1" x14ac:dyDescent="0.25">
      <c r="A37" s="22" t="s">
        <v>167</v>
      </c>
      <c r="B37" s="18">
        <v>40000</v>
      </c>
      <c r="C37" s="18">
        <v>88000</v>
      </c>
      <c r="D37" s="18">
        <v>128000</v>
      </c>
      <c r="E37" s="18">
        <v>40000</v>
      </c>
      <c r="F37" s="18">
        <v>88000</v>
      </c>
      <c r="G37" s="120">
        <v>128000</v>
      </c>
      <c r="H37" s="133">
        <v>40000</v>
      </c>
      <c r="I37" s="18">
        <v>88000</v>
      </c>
      <c r="J37" s="134">
        <v>128000</v>
      </c>
      <c r="K37" s="125">
        <v>0</v>
      </c>
      <c r="L37" s="18">
        <v>15286.81</v>
      </c>
      <c r="M37" s="18">
        <v>15286.81</v>
      </c>
      <c r="N37" s="9"/>
      <c r="S37" s="20">
        <v>1</v>
      </c>
      <c r="T37" s="20">
        <v>1</v>
      </c>
      <c r="U37" s="20">
        <v>1</v>
      </c>
      <c r="V37" s="12"/>
      <c r="W37" s="12"/>
    </row>
    <row r="38" spans="1:23" x14ac:dyDescent="0.25">
      <c r="A38" s="29" t="s">
        <v>58</v>
      </c>
      <c r="B38" s="30">
        <v>1000000</v>
      </c>
      <c r="C38" s="30">
        <v>2200000</v>
      </c>
      <c r="D38" s="30">
        <v>3200000</v>
      </c>
      <c r="E38" s="30">
        <v>1000000</v>
      </c>
      <c r="F38" s="30">
        <v>2200000</v>
      </c>
      <c r="G38" s="121">
        <v>3200000</v>
      </c>
      <c r="H38" s="135">
        <v>907387.49</v>
      </c>
      <c r="I38" s="30">
        <v>1619808.1800000002</v>
      </c>
      <c r="J38" s="136">
        <v>2527195.67</v>
      </c>
      <c r="K38" s="126">
        <v>410652.65</v>
      </c>
      <c r="L38" s="30">
        <v>788202.69000000018</v>
      </c>
      <c r="M38" s="30">
        <v>1198855.3400000003</v>
      </c>
      <c r="N38" s="9"/>
      <c r="S38" s="32">
        <v>0.90738748999999996</v>
      </c>
      <c r="T38" s="32">
        <v>0.73627644545454551</v>
      </c>
      <c r="U38" s="32">
        <v>0.78974864687500002</v>
      </c>
      <c r="V38" s="12"/>
      <c r="W38" s="12"/>
    </row>
    <row r="39" spans="1:23" ht="24" x14ac:dyDescent="0.25">
      <c r="A39" s="4" t="s">
        <v>125</v>
      </c>
      <c r="B39" s="18">
        <v>6179462</v>
      </c>
      <c r="C39" s="18"/>
      <c r="D39" s="18">
        <v>6179462</v>
      </c>
      <c r="E39" s="18">
        <v>6179462</v>
      </c>
      <c r="F39" s="18"/>
      <c r="G39" s="120">
        <v>6179462</v>
      </c>
      <c r="H39" s="133">
        <v>6179462</v>
      </c>
      <c r="I39" s="18"/>
      <c r="J39" s="134">
        <v>6179462</v>
      </c>
      <c r="K39" s="125">
        <v>6179462</v>
      </c>
      <c r="L39" s="18"/>
      <c r="M39" s="18">
        <v>6179462</v>
      </c>
      <c r="N39" s="9"/>
      <c r="S39" s="20">
        <v>1</v>
      </c>
      <c r="T39" s="20"/>
      <c r="U39" s="20">
        <v>1</v>
      </c>
      <c r="V39" s="12"/>
      <c r="W39" s="12"/>
    </row>
    <row r="40" spans="1:23" x14ac:dyDescent="0.25">
      <c r="A40" s="22" t="s">
        <v>131</v>
      </c>
      <c r="B40" s="18">
        <v>426368.15</v>
      </c>
      <c r="C40" s="18"/>
      <c r="D40" s="18">
        <v>426368.15</v>
      </c>
      <c r="E40" s="18">
        <v>168841.78999999998</v>
      </c>
      <c r="F40" s="18"/>
      <c r="G40" s="120">
        <v>168841.78999999998</v>
      </c>
      <c r="H40" s="133">
        <v>168841.78999999998</v>
      </c>
      <c r="I40" s="18"/>
      <c r="J40" s="134">
        <v>168841.78999999998</v>
      </c>
      <c r="K40" s="125">
        <v>46183.96</v>
      </c>
      <c r="L40" s="18">
        <v>0</v>
      </c>
      <c r="M40" s="18">
        <v>46183.96</v>
      </c>
      <c r="N40" s="9"/>
      <c r="S40" s="20">
        <v>1</v>
      </c>
      <c r="T40" s="20"/>
      <c r="U40" s="20">
        <v>1</v>
      </c>
      <c r="V40" s="12"/>
      <c r="W40" s="12"/>
    </row>
    <row r="41" spans="1:23" x14ac:dyDescent="0.25">
      <c r="A41" s="22" t="s">
        <v>133</v>
      </c>
      <c r="B41" s="18">
        <v>1345073</v>
      </c>
      <c r="C41" s="18"/>
      <c r="D41" s="18">
        <v>1345073</v>
      </c>
      <c r="E41" s="18">
        <v>1345073</v>
      </c>
      <c r="F41" s="18"/>
      <c r="G41" s="120">
        <v>1345073</v>
      </c>
      <c r="H41" s="133"/>
      <c r="I41" s="18"/>
      <c r="J41" s="134">
        <v>0</v>
      </c>
      <c r="K41" s="125"/>
      <c r="L41" s="18"/>
      <c r="M41" s="18">
        <v>0</v>
      </c>
      <c r="N41" s="9"/>
      <c r="S41" s="20">
        <v>0</v>
      </c>
      <c r="T41" s="20"/>
      <c r="U41" s="20">
        <v>0</v>
      </c>
      <c r="V41" s="12"/>
      <c r="W41" s="12"/>
    </row>
    <row r="42" spans="1:23" x14ac:dyDescent="0.25">
      <c r="A42" s="22" t="s">
        <v>135</v>
      </c>
      <c r="B42" s="18">
        <v>192153.28</v>
      </c>
      <c r="C42" s="18"/>
      <c r="D42" s="18">
        <v>192153.28</v>
      </c>
      <c r="E42" s="18">
        <v>192153.28</v>
      </c>
      <c r="F42" s="18"/>
      <c r="G42" s="120">
        <v>192153.28</v>
      </c>
      <c r="H42" s="133">
        <v>192153.28</v>
      </c>
      <c r="I42" s="18"/>
      <c r="J42" s="134">
        <v>192153.28</v>
      </c>
      <c r="K42" s="125">
        <v>192153.28</v>
      </c>
      <c r="L42" s="18"/>
      <c r="M42" s="18">
        <v>192153.28</v>
      </c>
      <c r="N42" s="9"/>
      <c r="S42" s="20">
        <v>1</v>
      </c>
      <c r="T42" s="20"/>
      <c r="U42" s="20">
        <v>1</v>
      </c>
      <c r="V42" s="12"/>
      <c r="W42" s="12"/>
    </row>
    <row r="43" spans="1:23" x14ac:dyDescent="0.25">
      <c r="A43" s="22" t="s">
        <v>136</v>
      </c>
      <c r="B43" s="18">
        <v>192153.29</v>
      </c>
      <c r="C43" s="18"/>
      <c r="D43" s="18">
        <v>192153.29</v>
      </c>
      <c r="E43" s="18">
        <v>192153.29</v>
      </c>
      <c r="F43" s="18"/>
      <c r="G43" s="120">
        <v>192153.29</v>
      </c>
      <c r="H43" s="133">
        <v>192153.29</v>
      </c>
      <c r="I43" s="18"/>
      <c r="J43" s="134">
        <v>192153.29</v>
      </c>
      <c r="K43" s="125">
        <v>192153.29</v>
      </c>
      <c r="L43" s="18"/>
      <c r="M43" s="18">
        <v>192153.29</v>
      </c>
      <c r="N43" s="9"/>
      <c r="S43" s="20">
        <v>1</v>
      </c>
      <c r="T43" s="20"/>
      <c r="U43" s="20">
        <v>1</v>
      </c>
      <c r="V43" s="12"/>
      <c r="W43" s="12"/>
    </row>
    <row r="44" spans="1:23" x14ac:dyDescent="0.25">
      <c r="A44" s="22" t="s">
        <v>137</v>
      </c>
      <c r="B44" s="18">
        <v>192153.28</v>
      </c>
      <c r="C44" s="18"/>
      <c r="D44" s="18">
        <v>192153.28</v>
      </c>
      <c r="E44" s="18">
        <v>192153.28</v>
      </c>
      <c r="F44" s="18"/>
      <c r="G44" s="120">
        <v>192153.28</v>
      </c>
      <c r="H44" s="133"/>
      <c r="I44" s="18"/>
      <c r="J44" s="134">
        <v>0</v>
      </c>
      <c r="K44" s="125"/>
      <c r="L44" s="18"/>
      <c r="M44" s="18">
        <v>0</v>
      </c>
      <c r="N44" s="9"/>
      <c r="S44" s="20">
        <v>0</v>
      </c>
      <c r="T44" s="20"/>
      <c r="U44" s="20">
        <v>0</v>
      </c>
      <c r="V44" s="12"/>
      <c r="W44" s="12"/>
    </row>
    <row r="45" spans="1:23" s="2" customFormat="1" x14ac:dyDescent="0.25">
      <c r="A45" s="88" t="s">
        <v>139</v>
      </c>
      <c r="B45" s="89">
        <v>8527363</v>
      </c>
      <c r="C45" s="89">
        <v>0</v>
      </c>
      <c r="D45" s="89">
        <v>8527363</v>
      </c>
      <c r="E45" s="89">
        <v>8269836.6400000006</v>
      </c>
      <c r="F45" s="89">
        <v>0</v>
      </c>
      <c r="G45" s="119">
        <v>8269836.6400000006</v>
      </c>
      <c r="H45" s="131">
        <v>6732610.3600000003</v>
      </c>
      <c r="I45" s="89">
        <v>0</v>
      </c>
      <c r="J45" s="132">
        <v>6732610.3600000003</v>
      </c>
      <c r="K45" s="123">
        <v>6609952.5300000003</v>
      </c>
      <c r="L45" s="89">
        <v>0</v>
      </c>
      <c r="M45" s="89">
        <v>6609952.5300000003</v>
      </c>
      <c r="N45" s="24"/>
      <c r="O45" s="43"/>
      <c r="P45" s="43"/>
      <c r="Q45" s="44"/>
      <c r="R45" s="44"/>
      <c r="S45" s="32">
        <v>0.81411648779557999</v>
      </c>
      <c r="T45" s="32"/>
      <c r="U45" s="32">
        <v>0.81411648779557999</v>
      </c>
      <c r="V45" s="91"/>
      <c r="W45" s="91"/>
    </row>
    <row r="46" spans="1:23" ht="36" x14ac:dyDescent="0.25">
      <c r="A46" s="4" t="s">
        <v>124</v>
      </c>
      <c r="B46" s="18">
        <v>6393552</v>
      </c>
      <c r="C46" s="18">
        <v>17600000</v>
      </c>
      <c r="D46" s="18">
        <v>23993552</v>
      </c>
      <c r="E46" s="18">
        <v>6393552</v>
      </c>
      <c r="F46" s="18">
        <v>7638726</v>
      </c>
      <c r="G46" s="120">
        <v>14032278</v>
      </c>
      <c r="H46" s="133">
        <v>6393552</v>
      </c>
      <c r="I46" s="18">
        <v>7638726</v>
      </c>
      <c r="J46" s="134">
        <v>14032278</v>
      </c>
      <c r="K46" s="125">
        <v>6393552</v>
      </c>
      <c r="L46" s="18">
        <v>7388726</v>
      </c>
      <c r="M46" s="18">
        <v>13782278</v>
      </c>
      <c r="N46" s="9"/>
      <c r="S46" s="20">
        <v>1</v>
      </c>
      <c r="T46" s="20">
        <v>1</v>
      </c>
      <c r="U46" s="20">
        <v>1</v>
      </c>
      <c r="V46" s="12"/>
      <c r="W46" s="12"/>
    </row>
    <row r="47" spans="1:23" x14ac:dyDescent="0.25">
      <c r="A47" s="22" t="s">
        <v>131</v>
      </c>
      <c r="B47" s="18">
        <v>437636.05</v>
      </c>
      <c r="C47" s="18">
        <v>926315</v>
      </c>
      <c r="D47" s="18">
        <v>1363951.05</v>
      </c>
      <c r="E47" s="18">
        <v>173303.87</v>
      </c>
      <c r="F47" s="18">
        <v>593067.53</v>
      </c>
      <c r="G47" s="120">
        <v>766371.4</v>
      </c>
      <c r="H47" s="133">
        <v>173303.87</v>
      </c>
      <c r="I47" s="18">
        <v>593067.53000000014</v>
      </c>
      <c r="J47" s="134">
        <v>766371.40000000014</v>
      </c>
      <c r="K47" s="125">
        <v>87527.209999999992</v>
      </c>
      <c r="L47" s="18">
        <v>180739.52</v>
      </c>
      <c r="M47" s="18">
        <v>268266.73</v>
      </c>
      <c r="N47" s="9"/>
      <c r="S47" s="20">
        <v>1</v>
      </c>
      <c r="T47" s="20">
        <v>1.0000000000000002</v>
      </c>
      <c r="U47" s="20">
        <v>1.0000000000000002</v>
      </c>
      <c r="V47" s="12"/>
      <c r="W47" s="12"/>
    </row>
    <row r="48" spans="1:23" x14ac:dyDescent="0.25">
      <c r="A48" s="22" t="s">
        <v>133</v>
      </c>
      <c r="B48" s="18">
        <v>1345073.06</v>
      </c>
      <c r="C48" s="18"/>
      <c r="D48" s="18">
        <v>1345073.06</v>
      </c>
      <c r="E48" s="18">
        <v>1345073.06</v>
      </c>
      <c r="F48" s="18"/>
      <c r="G48" s="120">
        <v>1345073.06</v>
      </c>
      <c r="H48" s="133"/>
      <c r="I48" s="18"/>
      <c r="J48" s="134">
        <v>0</v>
      </c>
      <c r="K48" s="125"/>
      <c r="L48" s="18"/>
      <c r="M48" s="18">
        <v>0</v>
      </c>
      <c r="N48" s="9"/>
      <c r="S48" s="20">
        <v>0</v>
      </c>
      <c r="T48" s="20"/>
      <c r="U48" s="20">
        <v>0</v>
      </c>
      <c r="V48" s="12"/>
      <c r="W48" s="12"/>
    </row>
    <row r="49" spans="1:23" x14ac:dyDescent="0.25">
      <c r="A49" s="22" t="s">
        <v>135</v>
      </c>
      <c r="B49" s="18">
        <v>192153.3</v>
      </c>
      <c r="C49" s="18"/>
      <c r="D49" s="18">
        <v>192153.3</v>
      </c>
      <c r="E49" s="18">
        <v>192153.3</v>
      </c>
      <c r="F49" s="18"/>
      <c r="G49" s="120">
        <v>192153.3</v>
      </c>
      <c r="H49" s="133">
        <v>192153.3</v>
      </c>
      <c r="I49" s="18"/>
      <c r="J49" s="134">
        <v>192153.3</v>
      </c>
      <c r="K49" s="125">
        <v>192153.3</v>
      </c>
      <c r="L49" s="18"/>
      <c r="M49" s="18">
        <v>192153.3</v>
      </c>
      <c r="N49" s="9"/>
      <c r="S49" s="20">
        <v>1</v>
      </c>
      <c r="T49" s="20"/>
      <c r="U49" s="20">
        <v>1</v>
      </c>
      <c r="V49" s="12"/>
      <c r="W49" s="12"/>
    </row>
    <row r="50" spans="1:23" x14ac:dyDescent="0.25">
      <c r="A50" s="22" t="s">
        <v>136</v>
      </c>
      <c r="B50" s="18">
        <v>192153.29</v>
      </c>
      <c r="C50" s="18"/>
      <c r="D50" s="18">
        <v>192153.29</v>
      </c>
      <c r="E50" s="18">
        <v>192153.29</v>
      </c>
      <c r="F50" s="18"/>
      <c r="G50" s="120">
        <v>192153.29</v>
      </c>
      <c r="H50" s="133">
        <v>192153.29</v>
      </c>
      <c r="I50" s="18"/>
      <c r="J50" s="134">
        <v>192153.29</v>
      </c>
      <c r="K50" s="125">
        <v>192153.29</v>
      </c>
      <c r="L50" s="18"/>
      <c r="M50" s="18">
        <v>192153.29</v>
      </c>
      <c r="N50" s="9"/>
      <c r="S50" s="20">
        <v>1</v>
      </c>
      <c r="T50" s="20"/>
      <c r="U50" s="20">
        <v>1</v>
      </c>
      <c r="V50" s="12"/>
      <c r="W50" s="12"/>
    </row>
    <row r="51" spans="1:23" x14ac:dyDescent="0.25">
      <c r="A51" s="22" t="s">
        <v>137</v>
      </c>
      <c r="B51" s="18">
        <v>192153.3</v>
      </c>
      <c r="C51" s="18">
        <v>0</v>
      </c>
      <c r="D51" s="18">
        <v>192153.3</v>
      </c>
      <c r="E51" s="18">
        <v>192153.3</v>
      </c>
      <c r="F51" s="18"/>
      <c r="G51" s="120">
        <v>192153.3</v>
      </c>
      <c r="H51" s="133"/>
      <c r="I51" s="18"/>
      <c r="J51" s="134">
        <v>0</v>
      </c>
      <c r="K51" s="125"/>
      <c r="L51" s="18"/>
      <c r="M51" s="18">
        <v>0</v>
      </c>
      <c r="N51" s="9"/>
      <c r="S51" s="20">
        <v>0</v>
      </c>
      <c r="T51" s="20"/>
      <c r="U51" s="20">
        <v>0</v>
      </c>
      <c r="V51" s="12"/>
      <c r="W51" s="12"/>
    </row>
    <row r="52" spans="1:23" s="2" customFormat="1" x14ac:dyDescent="0.25">
      <c r="A52" s="88" t="s">
        <v>138</v>
      </c>
      <c r="B52" s="89">
        <v>8752721</v>
      </c>
      <c r="C52" s="89">
        <v>18526315</v>
      </c>
      <c r="D52" s="89">
        <v>27279036</v>
      </c>
      <c r="E52" s="89">
        <v>8488388.8200000003</v>
      </c>
      <c r="F52" s="89">
        <v>8231793.5300000003</v>
      </c>
      <c r="G52" s="119">
        <v>16720182.350000001</v>
      </c>
      <c r="H52" s="131">
        <v>6951162.46</v>
      </c>
      <c r="I52" s="89">
        <v>8231793.5300000003</v>
      </c>
      <c r="J52" s="132">
        <v>15182955.99</v>
      </c>
      <c r="K52" s="123">
        <v>6865385.7999999998</v>
      </c>
      <c r="L52" s="89">
        <v>7569465.5199999996</v>
      </c>
      <c r="M52" s="89">
        <v>14434851.32</v>
      </c>
      <c r="N52" s="24"/>
      <c r="O52" s="43"/>
      <c r="P52" s="43"/>
      <c r="Q52" s="44"/>
      <c r="R52" s="44"/>
      <c r="S52" s="32">
        <v>0.81890245692114749</v>
      </c>
      <c r="T52" s="32">
        <v>1</v>
      </c>
      <c r="U52" s="32">
        <v>0.90806162709104654</v>
      </c>
      <c r="V52" s="91"/>
      <c r="W52" s="91"/>
    </row>
    <row r="53" spans="1:23" x14ac:dyDescent="0.25">
      <c r="A53" s="4" t="s">
        <v>122</v>
      </c>
      <c r="B53" s="18">
        <v>39214986</v>
      </c>
      <c r="C53" s="18">
        <v>13560000</v>
      </c>
      <c r="D53" s="18">
        <v>52774986</v>
      </c>
      <c r="E53" s="18">
        <v>39214986</v>
      </c>
      <c r="F53" s="18">
        <v>4894571.2</v>
      </c>
      <c r="G53" s="120">
        <v>44109557.200000003</v>
      </c>
      <c r="H53" s="133">
        <v>39214986</v>
      </c>
      <c r="I53" s="18">
        <v>4894571.13</v>
      </c>
      <c r="J53" s="134">
        <v>44109557.130000003</v>
      </c>
      <c r="K53" s="125">
        <v>39214986</v>
      </c>
      <c r="L53" s="18">
        <v>4169571.13</v>
      </c>
      <c r="M53" s="18">
        <v>43384557.130000003</v>
      </c>
      <c r="N53" s="9"/>
      <c r="S53" s="20">
        <v>1</v>
      </c>
      <c r="T53" s="20">
        <v>0.99999998569844073</v>
      </c>
      <c r="U53" s="20">
        <v>0.99999999841304232</v>
      </c>
      <c r="V53" s="12"/>
      <c r="W53" s="12"/>
    </row>
    <row r="54" spans="1:23" x14ac:dyDescent="0.25">
      <c r="A54" s="22" t="s">
        <v>131</v>
      </c>
      <c r="B54" s="18">
        <v>2165080</v>
      </c>
      <c r="C54" s="18">
        <v>713685</v>
      </c>
      <c r="D54" s="18">
        <v>2878765</v>
      </c>
      <c r="E54" s="18">
        <v>857371.69</v>
      </c>
      <c r="F54" s="18">
        <v>456932.47000000003</v>
      </c>
      <c r="G54" s="120">
        <v>1314304.1599999999</v>
      </c>
      <c r="H54" s="133">
        <v>857371.69</v>
      </c>
      <c r="I54" s="18">
        <v>456932.47000000003</v>
      </c>
      <c r="J54" s="134">
        <v>1314304.1599999999</v>
      </c>
      <c r="K54" s="125">
        <v>372637.18</v>
      </c>
      <c r="L54" s="18">
        <v>40509.440000000002</v>
      </c>
      <c r="M54" s="18">
        <v>413146.62</v>
      </c>
      <c r="N54" s="9"/>
      <c r="S54" s="20">
        <v>1</v>
      </c>
      <c r="T54" s="20">
        <v>1</v>
      </c>
      <c r="U54" s="20">
        <v>1</v>
      </c>
      <c r="V54" s="12"/>
      <c r="W54" s="12"/>
    </row>
    <row r="55" spans="1:23" x14ac:dyDescent="0.25">
      <c r="A55" s="22" t="s">
        <v>133</v>
      </c>
      <c r="B55" s="18">
        <v>1345073.8</v>
      </c>
      <c r="C55" s="18"/>
      <c r="D55" s="18">
        <v>1345073.8</v>
      </c>
      <c r="E55" s="18">
        <v>1345073.8</v>
      </c>
      <c r="F55" s="18"/>
      <c r="G55" s="120">
        <v>1345073.8</v>
      </c>
      <c r="H55" s="133"/>
      <c r="I55" s="18"/>
      <c r="J55" s="134">
        <v>0</v>
      </c>
      <c r="K55" s="125"/>
      <c r="L55" s="18"/>
      <c r="M55" s="18">
        <v>0</v>
      </c>
      <c r="N55" s="9"/>
      <c r="S55" s="20">
        <v>0</v>
      </c>
      <c r="T55" s="20"/>
      <c r="U55" s="20">
        <v>0</v>
      </c>
      <c r="V55" s="12"/>
      <c r="W55" s="12"/>
    </row>
    <row r="56" spans="1:23" x14ac:dyDescent="0.25">
      <c r="A56" s="22" t="s">
        <v>135</v>
      </c>
      <c r="B56" s="18">
        <v>192153.4</v>
      </c>
      <c r="C56" s="18"/>
      <c r="D56" s="18">
        <v>192153.4</v>
      </c>
      <c r="E56" s="18">
        <v>192153.4</v>
      </c>
      <c r="F56" s="18"/>
      <c r="G56" s="120">
        <v>192153.4</v>
      </c>
      <c r="H56" s="133">
        <v>192153.4</v>
      </c>
      <c r="I56" s="18"/>
      <c r="J56" s="134">
        <v>192153.4</v>
      </c>
      <c r="K56" s="125">
        <v>192153.4</v>
      </c>
      <c r="L56" s="18"/>
      <c r="M56" s="18">
        <v>192153.4</v>
      </c>
      <c r="N56" s="9"/>
      <c r="S56" s="20">
        <v>1</v>
      </c>
      <c r="T56" s="20"/>
      <c r="U56" s="20">
        <v>1</v>
      </c>
      <c r="V56" s="12"/>
      <c r="W56" s="12"/>
    </row>
    <row r="57" spans="1:23" x14ac:dyDescent="0.25">
      <c r="A57" s="22" t="s">
        <v>136</v>
      </c>
      <c r="B57" s="18">
        <v>192153.4</v>
      </c>
      <c r="C57" s="18"/>
      <c r="D57" s="18">
        <v>192153.4</v>
      </c>
      <c r="E57" s="18">
        <v>192153.4</v>
      </c>
      <c r="F57" s="18"/>
      <c r="G57" s="120">
        <v>192153.4</v>
      </c>
      <c r="H57" s="133">
        <v>192153.4</v>
      </c>
      <c r="I57" s="18"/>
      <c r="J57" s="134">
        <v>192153.4</v>
      </c>
      <c r="K57" s="125">
        <v>192153.4</v>
      </c>
      <c r="L57" s="18"/>
      <c r="M57" s="18">
        <v>192153.4</v>
      </c>
      <c r="N57" s="9"/>
      <c r="S57" s="20">
        <v>1</v>
      </c>
      <c r="T57" s="20"/>
      <c r="U57" s="20">
        <v>1</v>
      </c>
      <c r="V57" s="12"/>
      <c r="W57" s="12"/>
    </row>
    <row r="58" spans="1:23" x14ac:dyDescent="0.25">
      <c r="A58" s="22" t="s">
        <v>137</v>
      </c>
      <c r="B58" s="18">
        <v>192153.4</v>
      </c>
      <c r="C58" s="18"/>
      <c r="D58" s="18">
        <v>192153.4</v>
      </c>
      <c r="E58" s="18">
        <v>192153.4</v>
      </c>
      <c r="F58" s="18"/>
      <c r="G58" s="120">
        <v>192153.4</v>
      </c>
      <c r="H58" s="133">
        <v>0</v>
      </c>
      <c r="I58" s="18"/>
      <c r="J58" s="134">
        <v>0</v>
      </c>
      <c r="K58" s="125"/>
      <c r="L58" s="18"/>
      <c r="M58" s="18">
        <v>0</v>
      </c>
      <c r="N58" s="9"/>
      <c r="S58" s="20">
        <v>0</v>
      </c>
      <c r="T58" s="20"/>
      <c r="U58" s="20">
        <v>0</v>
      </c>
      <c r="V58" s="12"/>
      <c r="W58" s="12"/>
    </row>
    <row r="59" spans="1:23" s="2" customFormat="1" x14ac:dyDescent="0.25">
      <c r="A59" s="88" t="s">
        <v>132</v>
      </c>
      <c r="B59" s="89">
        <v>43301599.999999993</v>
      </c>
      <c r="C59" s="89">
        <v>14273685</v>
      </c>
      <c r="D59" s="89">
        <v>57575284.999999993</v>
      </c>
      <c r="E59" s="89">
        <v>41993891.68999999</v>
      </c>
      <c r="F59" s="89">
        <v>5351503.67</v>
      </c>
      <c r="G59" s="119">
        <v>47345395.359999992</v>
      </c>
      <c r="H59" s="131">
        <v>40456664.489999995</v>
      </c>
      <c r="I59" s="89">
        <v>5351503.5999999996</v>
      </c>
      <c r="J59" s="132">
        <v>45808168.089999996</v>
      </c>
      <c r="K59" s="123">
        <v>39971929.979999997</v>
      </c>
      <c r="L59" s="89">
        <v>4210080.57</v>
      </c>
      <c r="M59" s="89">
        <v>44182010.549999997</v>
      </c>
      <c r="N59" s="24"/>
      <c r="O59" s="43"/>
      <c r="P59" s="43"/>
      <c r="Q59" s="44"/>
      <c r="R59" s="44"/>
      <c r="S59" s="32">
        <v>0.96339402855663281</v>
      </c>
      <c r="T59" s="32">
        <v>0.99999998691956415</v>
      </c>
      <c r="U59" s="32">
        <v>0.96753164149731163</v>
      </c>
      <c r="V59" s="91"/>
      <c r="W59" s="91"/>
    </row>
    <row r="60" spans="1:23" ht="24" x14ac:dyDescent="0.25">
      <c r="A60" s="4" t="s">
        <v>123</v>
      </c>
      <c r="B60" s="18">
        <v>4300000</v>
      </c>
      <c r="C60" s="18"/>
      <c r="D60" s="18">
        <v>4300000</v>
      </c>
      <c r="E60" s="18">
        <v>4300000</v>
      </c>
      <c r="F60" s="18"/>
      <c r="G60" s="120">
        <v>4300000</v>
      </c>
      <c r="H60" s="133">
        <v>4300000</v>
      </c>
      <c r="I60" s="18"/>
      <c r="J60" s="134">
        <v>4300000</v>
      </c>
      <c r="K60" s="125">
        <v>4300000</v>
      </c>
      <c r="L60" s="18"/>
      <c r="M60" s="18">
        <v>4300000</v>
      </c>
      <c r="N60" s="9"/>
      <c r="S60" s="20">
        <v>1</v>
      </c>
      <c r="T60" s="20"/>
      <c r="U60" s="20">
        <v>1</v>
      </c>
      <c r="V60" s="12"/>
      <c r="W60" s="12"/>
    </row>
    <row r="61" spans="1:23" x14ac:dyDescent="0.25">
      <c r="A61" s="22" t="s">
        <v>131</v>
      </c>
      <c r="B61" s="18">
        <v>250915.8</v>
      </c>
      <c r="C61" s="18"/>
      <c r="D61" s="18">
        <v>250915.8</v>
      </c>
      <c r="E61" s="18">
        <v>99362.65</v>
      </c>
      <c r="F61" s="18"/>
      <c r="G61" s="120">
        <v>99362.65</v>
      </c>
      <c r="H61" s="133">
        <v>99362.65</v>
      </c>
      <c r="I61" s="18"/>
      <c r="J61" s="134">
        <v>99362.65</v>
      </c>
      <c r="K61" s="125">
        <v>0</v>
      </c>
      <c r="L61" s="18">
        <v>0</v>
      </c>
      <c r="M61" s="18">
        <v>0</v>
      </c>
      <c r="N61" s="9"/>
      <c r="S61" s="20">
        <v>1</v>
      </c>
      <c r="T61" s="20"/>
      <c r="U61" s="20">
        <v>1</v>
      </c>
      <c r="V61" s="12"/>
      <c r="W61" s="12"/>
    </row>
    <row r="62" spans="1:23" x14ac:dyDescent="0.25">
      <c r="A62" s="22" t="s">
        <v>133</v>
      </c>
      <c r="B62" s="18">
        <v>327180.14</v>
      </c>
      <c r="C62" s="18"/>
      <c r="D62" s="18">
        <v>327180.14</v>
      </c>
      <c r="E62" s="18">
        <v>327180.14</v>
      </c>
      <c r="F62" s="18"/>
      <c r="G62" s="120">
        <v>327180.14</v>
      </c>
      <c r="H62" s="133"/>
      <c r="I62" s="18"/>
      <c r="J62" s="134">
        <v>0</v>
      </c>
      <c r="K62" s="125"/>
      <c r="L62" s="18"/>
      <c r="M62" s="18">
        <v>0</v>
      </c>
      <c r="N62" s="9"/>
      <c r="S62" s="20">
        <v>0</v>
      </c>
      <c r="T62" s="20"/>
      <c r="U62" s="20">
        <v>0</v>
      </c>
      <c r="V62" s="12"/>
      <c r="W62" s="12"/>
    </row>
    <row r="63" spans="1:23" x14ac:dyDescent="0.25">
      <c r="A63" s="22" t="s">
        <v>135</v>
      </c>
      <c r="B63" s="18">
        <v>46740.02</v>
      </c>
      <c r="C63" s="18"/>
      <c r="D63" s="18">
        <v>46740.02</v>
      </c>
      <c r="E63" s="18">
        <v>46740.02</v>
      </c>
      <c r="F63" s="18"/>
      <c r="G63" s="120">
        <v>46740.02</v>
      </c>
      <c r="H63" s="133">
        <v>46740.02</v>
      </c>
      <c r="I63" s="18"/>
      <c r="J63" s="134">
        <v>46740.02</v>
      </c>
      <c r="K63" s="125">
        <v>46740.02</v>
      </c>
      <c r="L63" s="18"/>
      <c r="M63" s="18">
        <v>46740.02</v>
      </c>
      <c r="N63" s="9"/>
      <c r="S63" s="20">
        <v>1</v>
      </c>
      <c r="T63" s="20"/>
      <c r="U63" s="20">
        <v>1</v>
      </c>
      <c r="V63" s="12"/>
      <c r="W63" s="12"/>
    </row>
    <row r="64" spans="1:23" x14ac:dyDescent="0.25">
      <c r="A64" s="22" t="s">
        <v>136</v>
      </c>
      <c r="B64" s="18">
        <v>46740.02</v>
      </c>
      <c r="C64" s="18"/>
      <c r="D64" s="18">
        <v>46740.02</v>
      </c>
      <c r="E64" s="18">
        <v>46740.02</v>
      </c>
      <c r="F64" s="18"/>
      <c r="G64" s="120">
        <v>46740.02</v>
      </c>
      <c r="H64" s="133">
        <v>46740.02</v>
      </c>
      <c r="I64" s="18"/>
      <c r="J64" s="134">
        <v>46740.02</v>
      </c>
      <c r="K64" s="125">
        <v>46740.02</v>
      </c>
      <c r="L64" s="18"/>
      <c r="M64" s="18">
        <v>46740.02</v>
      </c>
      <c r="N64" s="9"/>
      <c r="S64" s="20">
        <v>1</v>
      </c>
      <c r="T64" s="20"/>
      <c r="U64" s="20">
        <v>1</v>
      </c>
      <c r="V64" s="12"/>
      <c r="W64" s="12"/>
    </row>
    <row r="65" spans="1:23" x14ac:dyDescent="0.25">
      <c r="A65" s="22" t="s">
        <v>137</v>
      </c>
      <c r="B65" s="18">
        <v>46740.02</v>
      </c>
      <c r="C65" s="18"/>
      <c r="D65" s="18">
        <v>46740.02</v>
      </c>
      <c r="E65" s="18">
        <v>46740.02</v>
      </c>
      <c r="F65" s="18"/>
      <c r="G65" s="120">
        <v>46740.02</v>
      </c>
      <c r="H65" s="133"/>
      <c r="I65" s="18"/>
      <c r="J65" s="134">
        <v>0</v>
      </c>
      <c r="K65" s="125"/>
      <c r="L65" s="18"/>
      <c r="M65" s="18">
        <v>0</v>
      </c>
      <c r="N65" s="9"/>
      <c r="S65" s="20">
        <v>0</v>
      </c>
      <c r="T65" s="20"/>
      <c r="U65" s="20">
        <v>0</v>
      </c>
      <c r="V65" s="12"/>
      <c r="W65" s="12"/>
    </row>
    <row r="66" spans="1:23" s="2" customFormat="1" ht="24" x14ac:dyDescent="0.25">
      <c r="A66" s="88" t="s">
        <v>134</v>
      </c>
      <c r="B66" s="89">
        <v>5018315.9999999981</v>
      </c>
      <c r="C66" s="89">
        <v>0</v>
      </c>
      <c r="D66" s="89">
        <v>5018315.9999999981</v>
      </c>
      <c r="E66" s="89">
        <v>4866762.8499999987</v>
      </c>
      <c r="F66" s="89">
        <v>0</v>
      </c>
      <c r="G66" s="119">
        <v>4866762.8499999987</v>
      </c>
      <c r="H66" s="131">
        <v>4492842.6899999995</v>
      </c>
      <c r="I66" s="89">
        <v>0</v>
      </c>
      <c r="J66" s="132">
        <v>4492842.6899999995</v>
      </c>
      <c r="K66" s="123">
        <v>4393480.0399999991</v>
      </c>
      <c r="L66" s="89">
        <v>0</v>
      </c>
      <c r="M66" s="89">
        <v>4393480.0399999991</v>
      </c>
      <c r="N66" s="24"/>
      <c r="O66" s="43"/>
      <c r="P66" s="43"/>
      <c r="Q66" s="44"/>
      <c r="R66" s="44"/>
      <c r="S66" s="32">
        <v>0.92316860888341845</v>
      </c>
      <c r="T66" s="32"/>
      <c r="U66" s="32">
        <v>0.92316860888341845</v>
      </c>
      <c r="V66" s="91"/>
      <c r="W66" s="91"/>
    </row>
    <row r="67" spans="1:23" ht="24.75" thickBot="1" x14ac:dyDescent="0.3">
      <c r="A67" s="29" t="s">
        <v>17</v>
      </c>
      <c r="B67" s="30">
        <v>65599999.999999993</v>
      </c>
      <c r="C67" s="30">
        <v>32800000</v>
      </c>
      <c r="D67" s="30">
        <v>98400000</v>
      </c>
      <c r="E67" s="30">
        <v>63618879.999999993</v>
      </c>
      <c r="F67" s="30">
        <v>13583297.199999999</v>
      </c>
      <c r="G67" s="121">
        <v>77202177.200000003</v>
      </c>
      <c r="H67" s="137">
        <v>58633279.999999993</v>
      </c>
      <c r="I67" s="138">
        <v>13583297.129999999</v>
      </c>
      <c r="J67" s="139">
        <v>72216577.129999995</v>
      </c>
      <c r="K67" s="126">
        <v>57840748.349999994</v>
      </c>
      <c r="L67" s="30">
        <v>11779546.09</v>
      </c>
      <c r="M67" s="30">
        <v>69620294.439999998</v>
      </c>
      <c r="N67" s="9"/>
      <c r="S67" s="32">
        <v>0.92163332645906371</v>
      </c>
      <c r="T67" s="32">
        <v>0.99999999484661206</v>
      </c>
      <c r="U67" s="32">
        <v>0.93542150945970981</v>
      </c>
      <c r="V67" s="12"/>
      <c r="W67" s="12"/>
    </row>
    <row r="68" spans="1:23" x14ac:dyDescent="0.25">
      <c r="A68" s="45"/>
      <c r="B68" s="84" t="e">
        <v>#REF!</v>
      </c>
      <c r="C68" s="84" t="e">
        <v>#REF!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9"/>
      <c r="S68" s="48"/>
      <c r="T68" s="48"/>
      <c r="U68" s="48"/>
      <c r="V68" s="12"/>
      <c r="W68" s="12"/>
    </row>
    <row r="69" spans="1:23" s="3" customFormat="1" x14ac:dyDescent="0.25">
      <c r="A69" s="30" t="s">
        <v>54</v>
      </c>
      <c r="B69" s="30">
        <v>237400000</v>
      </c>
      <c r="C69" s="30">
        <v>53900000</v>
      </c>
      <c r="D69" s="30">
        <v>291300000</v>
      </c>
      <c r="E69" s="30">
        <v>227196640</v>
      </c>
      <c r="F69" s="30">
        <v>34683297.200000003</v>
      </c>
      <c r="G69" s="30">
        <v>261879937.19999999</v>
      </c>
      <c r="H69" s="30">
        <v>153365973.08999997</v>
      </c>
      <c r="I69" s="30">
        <v>26488141.709999997</v>
      </c>
      <c r="J69" s="30">
        <v>179854114.80000001</v>
      </c>
      <c r="K69" s="30">
        <v>72051264.030000001</v>
      </c>
      <c r="L69" s="30">
        <v>14965672.489999998</v>
      </c>
      <c r="M69" s="30">
        <v>87016936.519999981</v>
      </c>
      <c r="N69" s="10"/>
      <c r="O69" s="21"/>
      <c r="P69" s="21"/>
      <c r="Q69" s="21"/>
      <c r="R69" s="21"/>
      <c r="S69" s="32">
        <v>0.67503627293959967</v>
      </c>
      <c r="T69" s="32">
        <v>0.76371463639275894</v>
      </c>
      <c r="U69" s="32">
        <v>0.6867808077357368</v>
      </c>
      <c r="V69" s="12"/>
      <c r="W69" s="12"/>
    </row>
    <row r="70" spans="1:23" ht="15.75" thickBot="1" x14ac:dyDescent="0.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9"/>
      <c r="S70" s="48"/>
      <c r="T70" s="48"/>
      <c r="U70" s="48"/>
      <c r="V70" s="12"/>
      <c r="W70" s="12"/>
    </row>
    <row r="71" spans="1:23" ht="26.25" customHeight="1" x14ac:dyDescent="0.25">
      <c r="A71" s="13" t="s">
        <v>99</v>
      </c>
      <c r="B71" s="143" t="s">
        <v>52</v>
      </c>
      <c r="C71" s="143"/>
      <c r="D71" s="143"/>
      <c r="E71" s="143" t="s">
        <v>1</v>
      </c>
      <c r="F71" s="143"/>
      <c r="G71" s="148"/>
      <c r="H71" s="149" t="s">
        <v>2</v>
      </c>
      <c r="I71" s="150"/>
      <c r="J71" s="151"/>
      <c r="K71" s="152" t="s">
        <v>3</v>
      </c>
      <c r="L71" s="143"/>
      <c r="M71" s="143"/>
      <c r="N71" s="9"/>
      <c r="S71" s="140" t="s">
        <v>57</v>
      </c>
      <c r="T71" s="141"/>
      <c r="U71" s="142"/>
      <c r="V71" s="12"/>
      <c r="W71" s="12"/>
    </row>
    <row r="72" spans="1:23" x14ac:dyDescent="0.25">
      <c r="A72" s="14"/>
      <c r="B72" s="15" t="s">
        <v>4</v>
      </c>
      <c r="C72" s="15" t="s">
        <v>5</v>
      </c>
      <c r="D72" s="15" t="s">
        <v>6</v>
      </c>
      <c r="E72" s="15" t="s">
        <v>4</v>
      </c>
      <c r="F72" s="15" t="s">
        <v>5</v>
      </c>
      <c r="G72" s="118" t="s">
        <v>6</v>
      </c>
      <c r="H72" s="127" t="s">
        <v>4</v>
      </c>
      <c r="I72" s="15" t="s">
        <v>5</v>
      </c>
      <c r="J72" s="128" t="s">
        <v>6</v>
      </c>
      <c r="K72" s="122" t="s">
        <v>4</v>
      </c>
      <c r="L72" s="15" t="s">
        <v>5</v>
      </c>
      <c r="M72" s="15" t="s">
        <v>6</v>
      </c>
      <c r="N72" s="9"/>
      <c r="S72" s="17" t="s">
        <v>4</v>
      </c>
      <c r="T72" s="17" t="s">
        <v>5</v>
      </c>
      <c r="U72" s="17" t="s">
        <v>6</v>
      </c>
      <c r="V72" s="12"/>
      <c r="W72" s="12"/>
    </row>
    <row r="73" spans="1:23" x14ac:dyDescent="0.25">
      <c r="A73" s="4" t="s">
        <v>120</v>
      </c>
      <c r="B73" s="18">
        <v>13486790</v>
      </c>
      <c r="C73" s="18">
        <v>2697358</v>
      </c>
      <c r="D73" s="18">
        <v>16184148</v>
      </c>
      <c r="E73" s="18">
        <v>13486790</v>
      </c>
      <c r="F73" s="18"/>
      <c r="G73" s="120">
        <v>13486790</v>
      </c>
      <c r="H73" s="133">
        <v>13486243.859999999</v>
      </c>
      <c r="I73" s="18"/>
      <c r="J73" s="134">
        <v>13486243.859999999</v>
      </c>
      <c r="K73" s="125"/>
      <c r="L73" s="18"/>
      <c r="M73" s="18">
        <v>0</v>
      </c>
      <c r="N73" s="9"/>
      <c r="S73" s="20">
        <v>0.99995950556062629</v>
      </c>
      <c r="T73" s="20"/>
      <c r="U73" s="20">
        <v>0.99995950556062629</v>
      </c>
      <c r="V73" s="12"/>
      <c r="W73" s="12"/>
    </row>
    <row r="74" spans="1:23" ht="15" hidden="1" customHeight="1" x14ac:dyDescent="0.25">
      <c r="A74" s="4" t="s">
        <v>90</v>
      </c>
      <c r="B74" s="18"/>
      <c r="C74" s="18"/>
      <c r="D74" s="18"/>
      <c r="E74" s="18"/>
      <c r="F74" s="18"/>
      <c r="G74" s="120"/>
      <c r="H74" s="133"/>
      <c r="I74" s="18"/>
      <c r="J74" s="134"/>
      <c r="K74" s="125"/>
      <c r="L74" s="18"/>
      <c r="M74" s="18"/>
      <c r="N74" s="9"/>
      <c r="S74" s="20"/>
      <c r="T74" s="20"/>
      <c r="U74" s="20"/>
      <c r="V74" s="12"/>
      <c r="W74" s="12"/>
    </row>
    <row r="75" spans="1:23" x14ac:dyDescent="0.25">
      <c r="A75" s="4" t="s">
        <v>130</v>
      </c>
      <c r="B75" s="18">
        <v>4496661.87</v>
      </c>
      <c r="C75" s="18">
        <v>407869.15</v>
      </c>
      <c r="D75" s="18">
        <v>4904531.0200000005</v>
      </c>
      <c r="E75" s="18">
        <v>4496661.87</v>
      </c>
      <c r="F75" s="18"/>
      <c r="G75" s="120">
        <v>4496661.87</v>
      </c>
      <c r="H75" s="133">
        <v>4127164.46</v>
      </c>
      <c r="I75" s="18"/>
      <c r="J75" s="134">
        <v>4127164.46</v>
      </c>
      <c r="K75" s="125"/>
      <c r="L75" s="18"/>
      <c r="M75" s="18">
        <v>0</v>
      </c>
      <c r="N75" s="9"/>
      <c r="S75" s="20">
        <v>0.91782850908467351</v>
      </c>
      <c r="T75" s="20"/>
      <c r="U75" s="20">
        <v>0.91782850908467351</v>
      </c>
      <c r="V75" s="12"/>
      <c r="W75" s="12"/>
    </row>
    <row r="76" spans="1:23" x14ac:dyDescent="0.25">
      <c r="A76" s="4" t="s">
        <v>121</v>
      </c>
      <c r="B76" s="18">
        <v>13892473</v>
      </c>
      <c r="C76" s="18">
        <v>2778494.6</v>
      </c>
      <c r="D76" s="18">
        <v>16670967.6</v>
      </c>
      <c r="E76" s="18">
        <v>13891868.159999998</v>
      </c>
      <c r="F76" s="18"/>
      <c r="G76" s="120">
        <v>13891868.159999998</v>
      </c>
      <c r="H76" s="133">
        <v>9973154.3900000006</v>
      </c>
      <c r="I76" s="18"/>
      <c r="J76" s="134">
        <v>9973154.3900000006</v>
      </c>
      <c r="K76" s="125">
        <v>1573163.2999999998</v>
      </c>
      <c r="L76" s="18"/>
      <c r="M76" s="18">
        <v>1573163.2999999998</v>
      </c>
      <c r="N76" s="9"/>
      <c r="S76" s="20">
        <v>0.71791311831741444</v>
      </c>
      <c r="T76" s="20"/>
      <c r="U76" s="20">
        <v>0.71791311831741444</v>
      </c>
      <c r="V76" s="12"/>
      <c r="W76" s="12"/>
    </row>
    <row r="77" spans="1:23" ht="15" hidden="1" customHeight="1" x14ac:dyDescent="0.25">
      <c r="A77" s="4" t="s">
        <v>91</v>
      </c>
      <c r="B77" s="18"/>
      <c r="C77" s="18"/>
      <c r="D77" s="18">
        <v>0</v>
      </c>
      <c r="E77" s="18"/>
      <c r="F77" s="18"/>
      <c r="G77" s="120"/>
      <c r="H77" s="133"/>
      <c r="I77" s="18"/>
      <c r="J77" s="134"/>
      <c r="K77" s="125"/>
      <c r="L77" s="18"/>
      <c r="M77" s="18">
        <v>0</v>
      </c>
      <c r="N77" s="9"/>
      <c r="S77" s="20" t="e">
        <v>#DIV/0!</v>
      </c>
      <c r="T77" s="20"/>
      <c r="U77" s="20" t="e">
        <v>#DIV/0!</v>
      </c>
      <c r="V77" s="12"/>
      <c r="W77" s="12"/>
    </row>
    <row r="78" spans="1:23" ht="15" customHeight="1" x14ac:dyDescent="0.25">
      <c r="A78" s="4" t="s">
        <v>170</v>
      </c>
      <c r="B78" s="18">
        <v>400000</v>
      </c>
      <c r="C78" s="18">
        <v>400000</v>
      </c>
      <c r="D78" s="18">
        <v>800000</v>
      </c>
      <c r="E78" s="18">
        <v>400000</v>
      </c>
      <c r="F78" s="18"/>
      <c r="G78" s="120">
        <v>400000</v>
      </c>
      <c r="H78" s="133">
        <v>400000</v>
      </c>
      <c r="I78" s="18"/>
      <c r="J78" s="134">
        <v>400000</v>
      </c>
      <c r="K78" s="125">
        <v>400000</v>
      </c>
      <c r="L78" s="18"/>
      <c r="M78" s="18">
        <v>400000</v>
      </c>
      <c r="N78" s="9"/>
      <c r="S78" s="20">
        <v>1</v>
      </c>
      <c r="T78" s="20"/>
      <c r="U78" s="20">
        <v>1</v>
      </c>
      <c r="V78" s="12"/>
      <c r="W78" s="12"/>
    </row>
    <row r="79" spans="1:23" ht="15.75" thickBot="1" x14ac:dyDescent="0.3">
      <c r="A79" s="29" t="s">
        <v>76</v>
      </c>
      <c r="B79" s="30">
        <v>32275924.870000001</v>
      </c>
      <c r="C79" s="30">
        <v>6283721.75</v>
      </c>
      <c r="D79" s="30">
        <v>38559646.619999997</v>
      </c>
      <c r="E79" s="30">
        <v>32275320.030000001</v>
      </c>
      <c r="F79" s="30">
        <v>0</v>
      </c>
      <c r="G79" s="121">
        <v>32275320.030000001</v>
      </c>
      <c r="H79" s="137">
        <v>27986562.710000001</v>
      </c>
      <c r="I79" s="138">
        <v>0</v>
      </c>
      <c r="J79" s="139">
        <v>27986562.710000001</v>
      </c>
      <c r="K79" s="126">
        <v>1973163.2999999998</v>
      </c>
      <c r="L79" s="30">
        <v>0</v>
      </c>
      <c r="M79" s="30">
        <v>1973163.2999999998</v>
      </c>
      <c r="N79" s="9"/>
      <c r="S79" s="32">
        <v>0.86711960358522899</v>
      </c>
      <c r="T79" s="32"/>
      <c r="U79" s="32">
        <v>0.86711960358522899</v>
      </c>
      <c r="V79" s="12"/>
      <c r="W79" s="12"/>
    </row>
    <row r="80" spans="1:23" x14ac:dyDescent="0.25">
      <c r="N80" s="9"/>
      <c r="V80" s="12"/>
      <c r="W80" s="12"/>
    </row>
    <row r="81" spans="1:23" ht="15" hidden="1" customHeight="1" x14ac:dyDescent="0.25">
      <c r="A81" s="13" t="s">
        <v>98</v>
      </c>
      <c r="B81" s="143" t="s">
        <v>52</v>
      </c>
      <c r="C81" s="143"/>
      <c r="D81" s="143"/>
      <c r="E81" s="143" t="s">
        <v>1</v>
      </c>
      <c r="F81" s="143"/>
      <c r="G81" s="143"/>
      <c r="H81" s="143" t="s">
        <v>2</v>
      </c>
      <c r="I81" s="143"/>
      <c r="J81" s="143"/>
      <c r="K81" s="143" t="s">
        <v>3</v>
      </c>
      <c r="L81" s="143"/>
      <c r="M81" s="143"/>
      <c r="N81" s="9"/>
      <c r="S81" s="140" t="s">
        <v>57</v>
      </c>
      <c r="T81" s="141"/>
      <c r="U81" s="142"/>
      <c r="V81" s="12"/>
      <c r="W81" s="12"/>
    </row>
    <row r="82" spans="1:23" ht="15" hidden="1" customHeight="1" x14ac:dyDescent="0.25">
      <c r="A82" s="14"/>
      <c r="B82" s="15" t="s">
        <v>4</v>
      </c>
      <c r="C82" s="15" t="s">
        <v>5</v>
      </c>
      <c r="D82" s="15" t="s">
        <v>6</v>
      </c>
      <c r="E82" s="15" t="s">
        <v>4</v>
      </c>
      <c r="F82" s="15" t="s">
        <v>5</v>
      </c>
      <c r="G82" s="15" t="s">
        <v>6</v>
      </c>
      <c r="H82" s="15" t="s">
        <v>4</v>
      </c>
      <c r="I82" s="15" t="s">
        <v>5</v>
      </c>
      <c r="J82" s="15" t="s">
        <v>6</v>
      </c>
      <c r="K82" s="15" t="s">
        <v>4</v>
      </c>
      <c r="L82" s="15" t="s">
        <v>5</v>
      </c>
      <c r="M82" s="15" t="s">
        <v>6</v>
      </c>
      <c r="N82" s="9"/>
      <c r="S82" s="17" t="s">
        <v>4</v>
      </c>
      <c r="T82" s="17" t="s">
        <v>5</v>
      </c>
      <c r="U82" s="17" t="s">
        <v>6</v>
      </c>
      <c r="V82" s="12"/>
      <c r="W82" s="12"/>
    </row>
    <row r="83" spans="1:23" ht="15" hidden="1" customHeight="1" x14ac:dyDescent="0.25">
      <c r="A83" s="4" t="s">
        <v>97</v>
      </c>
      <c r="B83" s="18"/>
      <c r="C83" s="18"/>
      <c r="D83" s="18">
        <v>0</v>
      </c>
      <c r="E83" s="18"/>
      <c r="F83" s="18"/>
      <c r="G83" s="18">
        <v>0</v>
      </c>
      <c r="H83" s="18"/>
      <c r="I83" s="18"/>
      <c r="J83" s="18">
        <v>0</v>
      </c>
      <c r="K83" s="18"/>
      <c r="L83" s="18"/>
      <c r="M83" s="18">
        <v>0</v>
      </c>
      <c r="N83" s="9"/>
      <c r="S83" s="20" t="e">
        <v>#DIV/0!</v>
      </c>
      <c r="T83" s="20" t="e">
        <v>#DIV/0!</v>
      </c>
      <c r="U83" s="20" t="e">
        <v>#DIV/0!</v>
      </c>
      <c r="V83" s="12"/>
      <c r="W83" s="12"/>
    </row>
    <row r="84" spans="1:23" ht="15" hidden="1" customHeight="1" x14ac:dyDescent="0.25">
      <c r="N84" s="9"/>
      <c r="V84" s="12"/>
      <c r="W84" s="12"/>
    </row>
    <row r="85" spans="1:23" ht="15" hidden="1" customHeight="1" x14ac:dyDescent="0.25">
      <c r="N85" s="9"/>
      <c r="S85" s="50" t="e">
        <v>#DIV/0!</v>
      </c>
      <c r="T85" s="50" t="e">
        <v>#DIV/0!</v>
      </c>
      <c r="U85" s="50" t="e">
        <v>#DIV/0!</v>
      </c>
      <c r="V85" s="12"/>
      <c r="W85" s="12"/>
    </row>
    <row r="86" spans="1:23" ht="15" hidden="1" customHeight="1" x14ac:dyDescent="0.25">
      <c r="B86" s="21">
        <v>62320000</v>
      </c>
      <c r="C86" s="21">
        <v>31160000</v>
      </c>
      <c r="N86" s="9"/>
      <c r="S86" s="50" t="e">
        <v>#DIV/0!</v>
      </c>
      <c r="T86" s="50" t="e">
        <v>#DIV/0!</v>
      </c>
      <c r="U86" s="50" t="e">
        <v>#DIV/0!</v>
      </c>
      <c r="V86" s="12"/>
      <c r="W86" s="12"/>
    </row>
    <row r="87" spans="1:23" ht="15" hidden="1" customHeight="1" x14ac:dyDescent="0.25">
      <c r="B87" s="21">
        <v>65600000</v>
      </c>
      <c r="C87" s="21">
        <v>32800000</v>
      </c>
      <c r="E87" s="21" t="s">
        <v>51</v>
      </c>
      <c r="F87" s="21">
        <v>6.4929075738125799E-2</v>
      </c>
      <c r="G87" s="21">
        <v>0.67682926829268297</v>
      </c>
      <c r="I87" s="21">
        <v>212967.36842105258</v>
      </c>
      <c r="J87" s="21">
        <v>1110000</v>
      </c>
      <c r="N87" s="9"/>
      <c r="S87" s="50" t="e">
        <v>#VALUE!</v>
      </c>
      <c r="T87" s="50">
        <v>3279999.9999999995</v>
      </c>
      <c r="U87" s="50">
        <v>1640000</v>
      </c>
      <c r="V87" s="12"/>
      <c r="W87" s="12"/>
    </row>
    <row r="88" spans="1:23" ht="15" hidden="1" customHeight="1" x14ac:dyDescent="0.25">
      <c r="E88" s="21" t="s">
        <v>50</v>
      </c>
      <c r="F88" s="21">
        <v>7.1245186136071892E-2</v>
      </c>
      <c r="G88" s="21">
        <v>0</v>
      </c>
      <c r="I88" s="21">
        <v>233684.21052631579</v>
      </c>
      <c r="J88" s="21">
        <v>0</v>
      </c>
      <c r="N88" s="9"/>
      <c r="S88" s="50" t="e">
        <v>#VALUE!</v>
      </c>
      <c r="T88" s="50">
        <v>3279999.9999999995</v>
      </c>
      <c r="U88" s="50" t="e">
        <v>#DIV/0!</v>
      </c>
      <c r="V88" s="12"/>
      <c r="W88" s="12"/>
    </row>
    <row r="89" spans="1:23" ht="15" hidden="1" customHeight="1" x14ac:dyDescent="0.25">
      <c r="B89" s="21">
        <v>3.4499999999999996E-2</v>
      </c>
      <c r="C89" s="21">
        <v>2263199.9999999995</v>
      </c>
      <c r="D89" s="21">
        <v>1131599.9999999998</v>
      </c>
      <c r="E89" s="21" t="s">
        <v>49</v>
      </c>
      <c r="F89" s="21">
        <v>0.86382573812580232</v>
      </c>
      <c r="G89" s="21">
        <v>0.32317073170731708</v>
      </c>
      <c r="I89" s="21">
        <v>2833348.421052631</v>
      </c>
      <c r="J89" s="21">
        <v>529999.99999999988</v>
      </c>
      <c r="N89" s="9"/>
      <c r="S89" s="50" t="e">
        <v>#VALUE!</v>
      </c>
      <c r="T89" s="50">
        <v>3279999.9999999991</v>
      </c>
      <c r="U89" s="50">
        <v>1639999.9999999995</v>
      </c>
      <c r="V89" s="12"/>
      <c r="W89" s="12"/>
    </row>
    <row r="90" spans="1:23" ht="15" hidden="1" customHeight="1" x14ac:dyDescent="0.25">
      <c r="B90" s="21">
        <v>2.5000000000000001E-3</v>
      </c>
      <c r="C90" s="21">
        <v>164000</v>
      </c>
      <c r="D90" s="21">
        <v>82000</v>
      </c>
      <c r="I90" s="21">
        <v>0</v>
      </c>
      <c r="N90" s="9"/>
      <c r="S90" s="50" t="e">
        <v>#DIV/0!</v>
      </c>
      <c r="T90" s="50" t="e">
        <v>#DIV/0!</v>
      </c>
      <c r="U90" s="50" t="e">
        <v>#DIV/0!</v>
      </c>
      <c r="V90" s="12"/>
      <c r="W90" s="12"/>
    </row>
    <row r="91" spans="1:23" ht="15" hidden="1" customHeight="1" x14ac:dyDescent="0.25">
      <c r="B91" s="21">
        <v>6.4999999999999997E-3</v>
      </c>
      <c r="C91" s="21">
        <v>426400</v>
      </c>
      <c r="D91" s="21">
        <v>213200</v>
      </c>
      <c r="N91" s="9"/>
      <c r="S91" s="50" t="e">
        <v>#DIV/0!</v>
      </c>
      <c r="T91" s="50" t="e">
        <v>#DIV/0!</v>
      </c>
      <c r="U91" s="50" t="e">
        <v>#DIV/0!</v>
      </c>
      <c r="V91" s="12"/>
      <c r="W91" s="12"/>
    </row>
    <row r="92" spans="1:23" ht="15" hidden="1" customHeight="1" x14ac:dyDescent="0.25">
      <c r="B92" s="21">
        <v>3.0000000000000001E-3</v>
      </c>
      <c r="C92" s="21">
        <v>196800</v>
      </c>
      <c r="D92" s="21">
        <v>98400</v>
      </c>
      <c r="N92" s="9"/>
      <c r="S92" s="50" t="e">
        <v>#DIV/0!</v>
      </c>
      <c r="T92" s="50" t="e">
        <v>#DIV/0!</v>
      </c>
      <c r="U92" s="50" t="e">
        <v>#DIV/0!</v>
      </c>
      <c r="V92" s="12"/>
      <c r="W92" s="12"/>
    </row>
    <row r="93" spans="1:23" ht="15" hidden="1" customHeight="1" x14ac:dyDescent="0.25">
      <c r="B93" s="21">
        <v>3.5000000000000001E-3</v>
      </c>
      <c r="C93" s="21">
        <v>229600</v>
      </c>
      <c r="D93" s="21">
        <v>114800</v>
      </c>
      <c r="F93" s="21">
        <v>1955010.4105263154</v>
      </c>
      <c r="G93" s="21">
        <v>365699.99999999994</v>
      </c>
      <c r="N93" s="9"/>
      <c r="S93" s="50" t="e">
        <v>#DIV/0!</v>
      </c>
      <c r="T93" s="50">
        <v>0</v>
      </c>
      <c r="U93" s="50">
        <v>0</v>
      </c>
      <c r="V93" s="12"/>
      <c r="W93" s="12"/>
    </row>
    <row r="94" spans="1:23" ht="15" hidden="1" customHeight="1" x14ac:dyDescent="0.25">
      <c r="C94" s="21">
        <v>3279999.9999999995</v>
      </c>
      <c r="D94" s="21">
        <v>1639999.9999999998</v>
      </c>
      <c r="F94" s="21">
        <v>141667.42105263157</v>
      </c>
      <c r="G94" s="21">
        <v>26500</v>
      </c>
      <c r="N94" s="9"/>
      <c r="S94" s="50" t="e">
        <v>#DIV/0!</v>
      </c>
      <c r="T94" s="50">
        <v>0</v>
      </c>
      <c r="U94" s="50">
        <v>0</v>
      </c>
      <c r="V94" s="12"/>
      <c r="W94" s="12"/>
    </row>
    <row r="95" spans="1:23" ht="15" hidden="1" customHeight="1" x14ac:dyDescent="0.25">
      <c r="F95" s="21">
        <v>368335.2947368421</v>
      </c>
      <c r="G95" s="21">
        <v>68900</v>
      </c>
      <c r="N95" s="9"/>
      <c r="S95" s="50" t="e">
        <v>#DIV/0!</v>
      </c>
      <c r="T95" s="50">
        <v>0</v>
      </c>
      <c r="U95" s="50">
        <v>0</v>
      </c>
      <c r="V95" s="12"/>
      <c r="W95" s="12"/>
    </row>
    <row r="96" spans="1:23" ht="15" hidden="1" customHeight="1" x14ac:dyDescent="0.25">
      <c r="F96" s="21">
        <v>170000.90526315791</v>
      </c>
      <c r="G96" s="21">
        <v>31800</v>
      </c>
      <c r="N96" s="9"/>
      <c r="S96" s="50" t="e">
        <v>#DIV/0!</v>
      </c>
      <c r="T96" s="50">
        <v>0</v>
      </c>
      <c r="U96" s="50">
        <v>0</v>
      </c>
      <c r="V96" s="12"/>
      <c r="W96" s="12"/>
    </row>
    <row r="97" spans="2:23" ht="15" hidden="1" customHeight="1" x14ac:dyDescent="0.25">
      <c r="F97" s="21">
        <v>198334.38947368422</v>
      </c>
      <c r="G97" s="21">
        <v>37100</v>
      </c>
      <c r="N97" s="9"/>
      <c r="S97" s="50" t="e">
        <v>#DIV/0!</v>
      </c>
      <c r="T97" s="50">
        <v>0</v>
      </c>
      <c r="U97" s="50">
        <v>0</v>
      </c>
      <c r="V97" s="12"/>
      <c r="W97" s="12"/>
    </row>
    <row r="98" spans="2:23" ht="15" hidden="1" customHeight="1" x14ac:dyDescent="0.25">
      <c r="N98" s="9"/>
      <c r="S98" s="50" t="e">
        <v>#DIV/0!</v>
      </c>
      <c r="T98" s="50" t="e">
        <v>#DIV/0!</v>
      </c>
      <c r="U98" s="50" t="e">
        <v>#DIV/0!</v>
      </c>
      <c r="V98" s="12"/>
      <c r="W98" s="12"/>
    </row>
    <row r="99" spans="2:23" ht="15" hidden="1" customHeight="1" x14ac:dyDescent="0.25">
      <c r="N99" s="9"/>
      <c r="S99" s="50" t="e">
        <v>#DIV/0!</v>
      </c>
      <c r="T99" s="50" t="e">
        <v>#DIV/0!</v>
      </c>
      <c r="U99" s="50" t="e">
        <v>#DIV/0!</v>
      </c>
      <c r="V99" s="12"/>
      <c r="W99" s="12"/>
    </row>
    <row r="100" spans="2:23" ht="15" hidden="1" customHeight="1" x14ac:dyDescent="0.25">
      <c r="N100" s="9"/>
      <c r="S100" s="50" t="e">
        <v>#DIV/0!</v>
      </c>
      <c r="T100" s="50" t="e">
        <v>#DIV/0!</v>
      </c>
      <c r="U100" s="50" t="e">
        <v>#DIV/0!</v>
      </c>
      <c r="V100" s="12"/>
      <c r="W100" s="12"/>
    </row>
    <row r="101" spans="2:23" ht="15" hidden="1" customHeight="1" x14ac:dyDescent="0.25">
      <c r="N101" s="9"/>
      <c r="S101" s="50" t="e">
        <v>#DIV/0!</v>
      </c>
      <c r="T101" s="50" t="e">
        <v>#DIV/0!</v>
      </c>
      <c r="U101" s="50" t="e">
        <v>#DIV/0!</v>
      </c>
      <c r="V101" s="12"/>
      <c r="W101" s="12"/>
    </row>
    <row r="102" spans="2:23" ht="15" hidden="1" customHeight="1" x14ac:dyDescent="0.25">
      <c r="N102" s="9"/>
      <c r="S102" s="50" t="e">
        <v>#DIV/0!</v>
      </c>
      <c r="T102" s="50" t="e">
        <v>#DIV/0!</v>
      </c>
      <c r="U102" s="50" t="e">
        <v>#DIV/0!</v>
      </c>
      <c r="V102" s="12"/>
      <c r="W102" s="12"/>
    </row>
    <row r="103" spans="2:23" ht="15" hidden="1" customHeight="1" x14ac:dyDescent="0.25">
      <c r="N103" s="9"/>
      <c r="S103" s="50" t="e">
        <v>#DIV/0!</v>
      </c>
      <c r="T103" s="50" t="e">
        <v>#DIV/0!</v>
      </c>
      <c r="U103" s="50" t="e">
        <v>#DIV/0!</v>
      </c>
      <c r="V103" s="12"/>
      <c r="W103" s="12"/>
    </row>
    <row r="104" spans="2:23" ht="15" hidden="1" customHeight="1" x14ac:dyDescent="0.25">
      <c r="N104" s="9"/>
      <c r="S104" s="50" t="e">
        <v>#DIV/0!</v>
      </c>
      <c r="T104" s="50" t="e">
        <v>#DIV/0!</v>
      </c>
      <c r="U104" s="50" t="e">
        <v>#DIV/0!</v>
      </c>
      <c r="V104" s="12"/>
      <c r="W104" s="12"/>
    </row>
    <row r="105" spans="2:23" ht="15" hidden="1" customHeight="1" x14ac:dyDescent="0.25">
      <c r="N105" s="9"/>
      <c r="S105" s="50" t="e">
        <v>#DIV/0!</v>
      </c>
      <c r="T105" s="50" t="e">
        <v>#DIV/0!</v>
      </c>
      <c r="U105" s="50" t="e">
        <v>#DIV/0!</v>
      </c>
      <c r="V105" s="12"/>
      <c r="W105" s="12"/>
    </row>
    <row r="106" spans="2:23" ht="15" hidden="1" customHeight="1" x14ac:dyDescent="0.25">
      <c r="N106" s="9"/>
      <c r="S106" s="50" t="e">
        <v>#DIV/0!</v>
      </c>
      <c r="T106" s="50" t="e">
        <v>#DIV/0!</v>
      </c>
      <c r="U106" s="50" t="e">
        <v>#DIV/0!</v>
      </c>
      <c r="V106" s="12"/>
      <c r="W106" s="12"/>
    </row>
    <row r="107" spans="2:23" ht="15" hidden="1" customHeight="1" x14ac:dyDescent="0.25">
      <c r="N107" s="9"/>
      <c r="S107" s="50" t="e">
        <v>#DIV/0!</v>
      </c>
      <c r="T107" s="50" t="e">
        <v>#DIV/0!</v>
      </c>
      <c r="U107" s="50" t="e">
        <v>#DIV/0!</v>
      </c>
      <c r="V107" s="12"/>
      <c r="W107" s="12"/>
    </row>
    <row r="108" spans="2:23" ht="15" hidden="1" customHeight="1" x14ac:dyDescent="0.25">
      <c r="N108" s="9"/>
      <c r="S108" s="50" t="e">
        <v>#DIV/0!</v>
      </c>
      <c r="T108" s="50" t="e">
        <v>#DIV/0!</v>
      </c>
      <c r="U108" s="50" t="e">
        <v>#DIV/0!</v>
      </c>
      <c r="V108" s="12"/>
      <c r="W108" s="12"/>
    </row>
    <row r="109" spans="2:23" ht="15" hidden="1" customHeight="1" x14ac:dyDescent="0.25">
      <c r="N109" s="9"/>
      <c r="S109" s="50" t="e">
        <v>#DIV/0!</v>
      </c>
      <c r="T109" s="50" t="e">
        <v>#DIV/0!</v>
      </c>
      <c r="U109" s="50" t="e">
        <v>#DIV/0!</v>
      </c>
      <c r="V109" s="12"/>
      <c r="W109" s="12"/>
    </row>
    <row r="110" spans="2:23" ht="15" hidden="1" customHeight="1" x14ac:dyDescent="0.25">
      <c r="N110" s="9"/>
      <c r="S110" s="50" t="e">
        <v>#DIV/0!</v>
      </c>
      <c r="T110" s="50" t="e">
        <v>#DIV/0!</v>
      </c>
      <c r="U110" s="50" t="e">
        <v>#DIV/0!</v>
      </c>
      <c r="V110" s="12"/>
      <c r="W110" s="12"/>
    </row>
    <row r="111" spans="2:23" ht="30" hidden="1" customHeight="1" x14ac:dyDescent="0.25">
      <c r="J111" s="51" t="s">
        <v>8</v>
      </c>
      <c r="K111" s="21" t="e">
        <v>#REF!</v>
      </c>
      <c r="L111" s="21" t="e">
        <v>#REF!</v>
      </c>
      <c r="M111" s="21" t="e">
        <v>#REF!</v>
      </c>
      <c r="N111" s="9"/>
      <c r="S111" s="50" t="e">
        <v>#DIV/0!</v>
      </c>
      <c r="T111" s="50" t="e">
        <v>#DIV/0!</v>
      </c>
      <c r="U111" s="50" t="e">
        <v>#VALUE!</v>
      </c>
      <c r="V111" s="12"/>
      <c r="W111" s="12"/>
    </row>
    <row r="112" spans="2:23" ht="30" hidden="1" customHeight="1" x14ac:dyDescent="0.25">
      <c r="B112" s="21">
        <v>65600000</v>
      </c>
      <c r="C112" s="21">
        <v>32800000</v>
      </c>
      <c r="J112" s="51" t="s">
        <v>12</v>
      </c>
      <c r="K112" s="21" t="e">
        <v>#REF!</v>
      </c>
      <c r="L112" s="21" t="e">
        <v>#REF!</v>
      </c>
      <c r="M112" s="21" t="e">
        <v>#REF!</v>
      </c>
      <c r="N112" s="9"/>
      <c r="S112" s="50" t="e">
        <v>#DIV/0!</v>
      </c>
      <c r="T112" s="50" t="e">
        <v>#DIV/0!</v>
      </c>
      <c r="U112" s="50" t="e">
        <v>#VALUE!</v>
      </c>
      <c r="V112" s="12"/>
      <c r="W112" s="12"/>
    </row>
    <row r="113" spans="2:23" ht="30" hidden="1" customHeight="1" x14ac:dyDescent="0.25">
      <c r="B113" s="21">
        <v>53833620</v>
      </c>
      <c r="C113" s="21">
        <v>10070000</v>
      </c>
      <c r="J113" s="51" t="s">
        <v>9</v>
      </c>
      <c r="K113" s="21" t="e">
        <v>#REF!</v>
      </c>
      <c r="L113" s="21" t="e">
        <v>#REF!</v>
      </c>
      <c r="M113" s="21" t="e">
        <v>#REF!</v>
      </c>
      <c r="N113" s="9"/>
      <c r="S113" s="50" t="e">
        <v>#DIV/0!</v>
      </c>
      <c r="T113" s="50" t="e">
        <v>#DIV/0!</v>
      </c>
      <c r="U113" s="50" t="e">
        <v>#VALUE!</v>
      </c>
      <c r="V113" s="12"/>
      <c r="W113" s="12"/>
    </row>
    <row r="114" spans="2:23" ht="15" hidden="1" customHeight="1" x14ac:dyDescent="0.25">
      <c r="B114" s="21">
        <v>4440000</v>
      </c>
      <c r="C114" s="21">
        <v>0</v>
      </c>
      <c r="J114" s="51" t="s">
        <v>13</v>
      </c>
      <c r="K114" s="21" t="e">
        <v>#REF!</v>
      </c>
      <c r="L114" s="21" t="e">
        <v>#REF!</v>
      </c>
      <c r="M114" s="21" t="e">
        <v>#REF!</v>
      </c>
      <c r="N114" s="9"/>
      <c r="S114" s="50" t="e">
        <v>#DIV/0!</v>
      </c>
      <c r="T114" s="50" t="e">
        <v>#DIV/0!</v>
      </c>
      <c r="U114" s="50" t="e">
        <v>#VALUE!</v>
      </c>
      <c r="V114" s="12"/>
      <c r="W114" s="12"/>
    </row>
    <row r="115" spans="2:23" ht="30" hidden="1" customHeight="1" x14ac:dyDescent="0.25">
      <c r="B115" s="21">
        <v>4046380</v>
      </c>
      <c r="C115" s="21">
        <v>21090000</v>
      </c>
      <c r="J115" s="51" t="s">
        <v>14</v>
      </c>
      <c r="K115" s="21" t="e">
        <v>#REF!</v>
      </c>
      <c r="L115" s="21" t="e">
        <v>#REF!</v>
      </c>
      <c r="M115" s="21" t="e">
        <v>#REF!</v>
      </c>
      <c r="N115" s="9"/>
      <c r="S115" s="50" t="e">
        <v>#DIV/0!</v>
      </c>
      <c r="T115" s="50" t="e">
        <v>#DIV/0!</v>
      </c>
      <c r="U115" s="50" t="e">
        <v>#VALUE!</v>
      </c>
      <c r="V115" s="12"/>
      <c r="W115" s="12"/>
    </row>
    <row r="116" spans="2:23" ht="15" hidden="1" customHeight="1" x14ac:dyDescent="0.25">
      <c r="K116" s="21" t="e">
        <v>#REF!</v>
      </c>
      <c r="L116" s="21" t="e">
        <v>#REF!</v>
      </c>
      <c r="M116" s="21" t="e">
        <v>#REF!</v>
      </c>
      <c r="N116" s="9"/>
      <c r="S116" s="50" t="e">
        <v>#DIV/0!</v>
      </c>
      <c r="T116" s="50" t="e">
        <v>#DIV/0!</v>
      </c>
      <c r="U116" s="50" t="e">
        <v>#DIV/0!</v>
      </c>
      <c r="V116" s="12"/>
      <c r="W116" s="12"/>
    </row>
    <row r="117" spans="2:23" ht="15" hidden="1" customHeight="1" x14ac:dyDescent="0.25">
      <c r="N117" s="9"/>
      <c r="S117" s="50" t="e">
        <v>#DIV/0!</v>
      </c>
      <c r="T117" s="50" t="e">
        <v>#DIV/0!</v>
      </c>
      <c r="U117" s="50" t="e">
        <v>#DIV/0!</v>
      </c>
      <c r="V117" s="12"/>
      <c r="W117" s="12"/>
    </row>
    <row r="118" spans="2:23" ht="15" hidden="1" customHeight="1" x14ac:dyDescent="0.25">
      <c r="B118" s="21">
        <v>0.82063445121951217</v>
      </c>
      <c r="C118" s="21">
        <v>0.30701219512195121</v>
      </c>
      <c r="N118" s="9"/>
      <c r="S118" s="50" t="e">
        <v>#DIV/0!</v>
      </c>
      <c r="T118" s="50" t="e">
        <v>#DIV/0!</v>
      </c>
      <c r="U118" s="50" t="e">
        <v>#DIV/0!</v>
      </c>
      <c r="V118" s="12"/>
      <c r="W118" s="12"/>
    </row>
    <row r="119" spans="2:23" ht="15" hidden="1" customHeight="1" x14ac:dyDescent="0.25">
      <c r="B119" s="21">
        <v>6.7682926829268297E-2</v>
      </c>
      <c r="C119" s="21">
        <v>0</v>
      </c>
      <c r="N119" s="9"/>
      <c r="S119" s="50" t="e">
        <v>#DIV/0!</v>
      </c>
      <c r="T119" s="50" t="e">
        <v>#DIV/0!</v>
      </c>
      <c r="U119" s="50" t="e">
        <v>#DIV/0!</v>
      </c>
      <c r="V119" s="12"/>
      <c r="W119" s="12"/>
    </row>
    <row r="120" spans="2:23" ht="15" hidden="1" customHeight="1" x14ac:dyDescent="0.25">
      <c r="B120" s="21">
        <v>6.1682621951219513E-2</v>
      </c>
      <c r="C120" s="21">
        <v>0.64298780487804874</v>
      </c>
      <c r="N120" s="9"/>
      <c r="S120" s="50" t="e">
        <v>#DIV/0!</v>
      </c>
      <c r="T120" s="50" t="e">
        <v>#DIV/0!</v>
      </c>
      <c r="U120" s="50" t="e">
        <v>#DIV/0!</v>
      </c>
      <c r="V120" s="12"/>
      <c r="W120" s="12"/>
    </row>
    <row r="121" spans="2:23" ht="15" hidden="1" customHeight="1" x14ac:dyDescent="0.25">
      <c r="N121" s="9"/>
      <c r="S121" s="50" t="e">
        <v>#DIV/0!</v>
      </c>
      <c r="T121" s="50" t="e">
        <v>#DIV/0!</v>
      </c>
      <c r="U121" s="50" t="e">
        <v>#DIV/0!</v>
      </c>
      <c r="V121" s="12"/>
      <c r="W121" s="12"/>
    </row>
    <row r="122" spans="2:23" ht="15" hidden="1" customHeight="1" x14ac:dyDescent="0.25">
      <c r="N122" s="9"/>
      <c r="S122" s="50" t="e">
        <v>#DIV/0!</v>
      </c>
      <c r="T122" s="50" t="e">
        <v>#DIV/0!</v>
      </c>
      <c r="U122" s="50" t="e">
        <v>#DIV/0!</v>
      </c>
      <c r="V122" s="12"/>
      <c r="W122" s="12"/>
    </row>
    <row r="123" spans="2:23" ht="15" hidden="1" customHeight="1" x14ac:dyDescent="0.25">
      <c r="B123" s="21">
        <v>2624000</v>
      </c>
      <c r="C123" s="21">
        <v>1312000</v>
      </c>
      <c r="E123" s="21">
        <v>459200</v>
      </c>
      <c r="F123" s="21">
        <v>229600</v>
      </c>
      <c r="N123" s="9"/>
      <c r="S123" s="50">
        <v>0</v>
      </c>
      <c r="T123" s="50">
        <v>0</v>
      </c>
      <c r="U123" s="50" t="e">
        <v>#DIV/0!</v>
      </c>
      <c r="V123" s="12"/>
      <c r="W123" s="12"/>
    </row>
    <row r="124" spans="2:23" ht="15" hidden="1" customHeight="1" x14ac:dyDescent="0.25">
      <c r="B124" s="21">
        <v>2153344.7999999998</v>
      </c>
      <c r="C124" s="21">
        <v>402800</v>
      </c>
      <c r="E124" s="21">
        <v>376835.33999999997</v>
      </c>
      <c r="F124" s="21">
        <v>70490</v>
      </c>
      <c r="N124" s="9"/>
      <c r="S124" s="50">
        <v>0</v>
      </c>
      <c r="T124" s="50">
        <v>0</v>
      </c>
      <c r="U124" s="50" t="e">
        <v>#DIV/0!</v>
      </c>
      <c r="V124" s="12"/>
      <c r="W124" s="12"/>
    </row>
    <row r="125" spans="2:23" ht="15" hidden="1" customHeight="1" x14ac:dyDescent="0.25">
      <c r="B125" s="21">
        <v>177600</v>
      </c>
      <c r="C125" s="21">
        <v>0</v>
      </c>
      <c r="E125" s="21">
        <v>31080.000000000004</v>
      </c>
      <c r="F125" s="21">
        <v>0</v>
      </c>
      <c r="N125" s="9"/>
      <c r="S125" s="50">
        <v>0</v>
      </c>
      <c r="T125" s="50" t="e">
        <v>#DIV/0!</v>
      </c>
      <c r="U125" s="50" t="e">
        <v>#DIV/0!</v>
      </c>
      <c r="V125" s="12"/>
      <c r="W125" s="12"/>
    </row>
    <row r="126" spans="2:23" ht="15" hidden="1" customHeight="1" x14ac:dyDescent="0.25">
      <c r="B126" s="21">
        <v>161855.20000000001</v>
      </c>
      <c r="C126" s="21">
        <v>843600</v>
      </c>
      <c r="E126" s="21">
        <v>28324.66</v>
      </c>
      <c r="F126" s="21">
        <v>147630</v>
      </c>
      <c r="N126" s="9"/>
      <c r="S126" s="50">
        <v>0</v>
      </c>
      <c r="T126" s="50">
        <v>0</v>
      </c>
      <c r="U126" s="50" t="e">
        <v>#DIV/0!</v>
      </c>
      <c r="V126" s="12"/>
      <c r="W126" s="12"/>
    </row>
    <row r="127" spans="2:23" ht="30" hidden="1" customHeight="1" x14ac:dyDescent="0.25">
      <c r="I127" s="21" t="s">
        <v>8</v>
      </c>
      <c r="J127" s="21">
        <v>3.4499999999999996E-2</v>
      </c>
      <c r="K127" s="21">
        <v>3.4499999999999997</v>
      </c>
      <c r="N127" s="9"/>
      <c r="S127" s="50" t="e">
        <v>#DIV/0!</v>
      </c>
      <c r="T127" s="50" t="e">
        <v>#VALUE!</v>
      </c>
      <c r="U127" s="50" t="e">
        <v>#DIV/0!</v>
      </c>
      <c r="V127" s="12"/>
      <c r="W127" s="12"/>
    </row>
    <row r="128" spans="2:23" ht="30" hidden="1" customHeight="1" x14ac:dyDescent="0.25">
      <c r="I128" s="21" t="s">
        <v>12</v>
      </c>
      <c r="J128" s="21">
        <v>2.5000000000000001E-3</v>
      </c>
      <c r="K128" s="21">
        <v>0.25</v>
      </c>
      <c r="N128" s="9"/>
      <c r="S128" s="50" t="e">
        <v>#DIV/0!</v>
      </c>
      <c r="T128" s="50" t="e">
        <v>#VALUE!</v>
      </c>
      <c r="U128" s="50" t="e">
        <v>#DIV/0!</v>
      </c>
      <c r="V128" s="12"/>
      <c r="W128" s="12"/>
    </row>
    <row r="129" spans="2:23" ht="15" hidden="1" customHeight="1" x14ac:dyDescent="0.25">
      <c r="I129" s="21" t="s">
        <v>13</v>
      </c>
      <c r="J129" s="21">
        <v>6.4999999999999997E-3</v>
      </c>
      <c r="K129" s="21">
        <v>0.65</v>
      </c>
      <c r="N129" s="9"/>
      <c r="S129" s="50" t="e">
        <v>#DIV/0!</v>
      </c>
      <c r="T129" s="50" t="e">
        <v>#VALUE!</v>
      </c>
      <c r="U129" s="50" t="e">
        <v>#DIV/0!</v>
      </c>
      <c r="V129" s="12"/>
      <c r="W129" s="12"/>
    </row>
    <row r="130" spans="2:23" ht="30" hidden="1" customHeight="1" x14ac:dyDescent="0.25">
      <c r="B130" s="21">
        <v>-0.95299999999999996</v>
      </c>
      <c r="I130" s="21" t="s">
        <v>9</v>
      </c>
      <c r="J130" s="21">
        <v>3.0000000000000001E-3</v>
      </c>
      <c r="K130" s="21">
        <v>0.3</v>
      </c>
      <c r="N130" s="9"/>
      <c r="S130" s="50" t="e">
        <v>#DIV/0!</v>
      </c>
      <c r="T130" s="50" t="e">
        <v>#VALUE!</v>
      </c>
      <c r="U130" s="50" t="e">
        <v>#DIV/0!</v>
      </c>
      <c r="V130" s="12"/>
      <c r="W130" s="12"/>
    </row>
    <row r="131" spans="2:23" ht="30" hidden="1" customHeight="1" x14ac:dyDescent="0.25">
      <c r="B131" s="21">
        <v>-62516800</v>
      </c>
      <c r="I131" s="21" t="s">
        <v>14</v>
      </c>
      <c r="J131" s="21">
        <v>3.5000000000000001E-3</v>
      </c>
      <c r="K131" s="21">
        <v>0.35000000000000003</v>
      </c>
      <c r="N131" s="9"/>
      <c r="S131" s="50" t="e">
        <v>#DIV/0!</v>
      </c>
      <c r="T131" s="50" t="e">
        <v>#VALUE!</v>
      </c>
      <c r="U131" s="50" t="e">
        <v>#DIV/0!</v>
      </c>
      <c r="V131" s="12"/>
      <c r="W131" s="12"/>
    </row>
    <row r="132" spans="2:23" ht="15" hidden="1" customHeight="1" x14ac:dyDescent="0.25">
      <c r="N132" s="9"/>
      <c r="S132" s="50" t="e">
        <v>#DIV/0!</v>
      </c>
      <c r="T132" s="50" t="e">
        <v>#DIV/0!</v>
      </c>
      <c r="U132" s="50" t="e">
        <v>#DIV/0!</v>
      </c>
      <c r="V132" s="12"/>
      <c r="W132" s="12"/>
    </row>
    <row r="133" spans="2:23" ht="15" hidden="1" customHeight="1" x14ac:dyDescent="0.25">
      <c r="N133" s="9"/>
      <c r="S133" s="50" t="e">
        <v>#DIV/0!</v>
      </c>
      <c r="T133" s="50" t="e">
        <v>#DIV/0!</v>
      </c>
      <c r="U133" s="50" t="e">
        <v>#DIV/0!</v>
      </c>
      <c r="V133" s="12"/>
      <c r="W133" s="12"/>
    </row>
    <row r="134" spans="2:23" ht="15" hidden="1" customHeight="1" x14ac:dyDescent="0.25">
      <c r="N134" s="9"/>
      <c r="S134" s="50" t="e">
        <v>#DIV/0!</v>
      </c>
      <c r="T134" s="50" t="e">
        <v>#DIV/0!</v>
      </c>
      <c r="U134" s="50" t="e">
        <v>#DIV/0!</v>
      </c>
      <c r="V134" s="12"/>
      <c r="W134" s="12"/>
    </row>
    <row r="135" spans="2:23" ht="15" hidden="1" customHeight="1" x14ac:dyDescent="0.25">
      <c r="N135" s="9"/>
      <c r="S135" s="50" t="e">
        <v>#DIV/0!</v>
      </c>
      <c r="T135" s="50" t="e">
        <v>#DIV/0!</v>
      </c>
      <c r="U135" s="50" t="e">
        <v>#DIV/0!</v>
      </c>
      <c r="V135" s="12"/>
      <c r="W135" s="12"/>
    </row>
    <row r="136" spans="2:23" ht="15" hidden="1" customHeight="1" x14ac:dyDescent="0.25">
      <c r="N136" s="9"/>
      <c r="S136" s="50" t="e">
        <v>#DIV/0!</v>
      </c>
      <c r="T136" s="50" t="e">
        <v>#DIV/0!</v>
      </c>
      <c r="U136" s="50" t="e">
        <v>#DIV/0!</v>
      </c>
      <c r="V136" s="12"/>
      <c r="W136" s="12"/>
    </row>
    <row r="137" spans="2:23" ht="15" hidden="1" customHeight="1" x14ac:dyDescent="0.25">
      <c r="N137" s="9"/>
      <c r="S137" s="50" t="e">
        <v>#DIV/0!</v>
      </c>
      <c r="T137" s="50" t="e">
        <v>#DIV/0!</v>
      </c>
      <c r="U137" s="50" t="e">
        <v>#DIV/0!</v>
      </c>
      <c r="V137" s="12"/>
      <c r="W137" s="12"/>
    </row>
    <row r="138" spans="2:23" ht="15" hidden="1" customHeight="1" x14ac:dyDescent="0.25">
      <c r="N138" s="9"/>
      <c r="S138" s="50" t="e">
        <v>#DIV/0!</v>
      </c>
      <c r="T138" s="50" t="e">
        <v>#DIV/0!</v>
      </c>
      <c r="U138" s="50" t="e">
        <v>#DIV/0!</v>
      </c>
      <c r="V138" s="12"/>
      <c r="W138" s="12"/>
    </row>
    <row r="139" spans="2:23" ht="15" hidden="1" customHeight="1" x14ac:dyDescent="0.25">
      <c r="N139" s="9"/>
      <c r="S139" s="50" t="e">
        <v>#DIV/0!</v>
      </c>
      <c r="T139" s="50" t="e">
        <v>#DIV/0!</v>
      </c>
      <c r="U139" s="50" t="e">
        <v>#DIV/0!</v>
      </c>
      <c r="V139" s="12"/>
      <c r="W139" s="12"/>
    </row>
    <row r="140" spans="2:23" ht="15" hidden="1" customHeight="1" x14ac:dyDescent="0.25">
      <c r="N140" s="9"/>
      <c r="S140" s="50" t="e">
        <v>#DIV/0!</v>
      </c>
      <c r="T140" s="50" t="e">
        <v>#DIV/0!</v>
      </c>
      <c r="U140" s="50" t="e">
        <v>#DIV/0!</v>
      </c>
      <c r="V140" s="12"/>
      <c r="W140" s="12"/>
    </row>
    <row r="141" spans="2:23" ht="15" hidden="1" customHeight="1" x14ac:dyDescent="0.25">
      <c r="B141" s="21">
        <v>87300000</v>
      </c>
      <c r="C141" s="21">
        <v>21825000</v>
      </c>
      <c r="N141" s="9"/>
      <c r="S141" s="50" t="e">
        <v>#DIV/0!</v>
      </c>
      <c r="T141" s="50" t="e">
        <v>#DIV/0!</v>
      </c>
      <c r="U141" s="50" t="e">
        <v>#DIV/0!</v>
      </c>
      <c r="V141" s="12"/>
      <c r="W141" s="12"/>
    </row>
    <row r="142" spans="2:23" ht="15" hidden="1" customHeight="1" x14ac:dyDescent="0.25">
      <c r="B142" s="21">
        <v>48031544</v>
      </c>
      <c r="C142" s="21">
        <v>12007886</v>
      </c>
      <c r="N142" s="9"/>
      <c r="S142" s="50" t="e">
        <v>#DIV/0!</v>
      </c>
      <c r="T142" s="50" t="e">
        <v>#DIV/0!</v>
      </c>
      <c r="U142" s="50" t="e">
        <v>#DIV/0!</v>
      </c>
      <c r="V142" s="12"/>
      <c r="W142" s="12"/>
    </row>
    <row r="143" spans="2:23" ht="15" hidden="1" customHeight="1" x14ac:dyDescent="0.25">
      <c r="B143" s="21">
        <v>32021030</v>
      </c>
      <c r="C143" s="21">
        <v>8005258</v>
      </c>
      <c r="N143" s="9"/>
      <c r="S143" s="50" t="e">
        <v>#DIV/0!</v>
      </c>
      <c r="T143" s="50" t="e">
        <v>#DIV/0!</v>
      </c>
      <c r="U143" s="50" t="e">
        <v>#DIV/0!</v>
      </c>
      <c r="V143" s="12"/>
      <c r="W143" s="12"/>
    </row>
    <row r="144" spans="2:23" ht="15" hidden="1" customHeight="1" x14ac:dyDescent="0.25">
      <c r="B144" s="21">
        <v>7247426</v>
      </c>
      <c r="C144" s="21">
        <v>1811856</v>
      </c>
      <c r="N144" s="9"/>
      <c r="S144" s="50" t="e">
        <v>#DIV/0!</v>
      </c>
      <c r="T144" s="50" t="e">
        <v>#DIV/0!</v>
      </c>
      <c r="U144" s="50" t="e">
        <v>#DIV/0!</v>
      </c>
      <c r="V144" s="12"/>
      <c r="W144" s="12"/>
    </row>
    <row r="145" spans="2:23" ht="15" hidden="1" customHeight="1" x14ac:dyDescent="0.25">
      <c r="N145" s="9"/>
      <c r="S145" s="50" t="e">
        <v>#DIV/0!</v>
      </c>
      <c r="T145" s="50" t="e">
        <v>#DIV/0!</v>
      </c>
      <c r="U145" s="50" t="e">
        <v>#DIV/0!</v>
      </c>
      <c r="V145" s="12"/>
      <c r="W145" s="12"/>
    </row>
    <row r="146" spans="2:23" ht="15" hidden="1" customHeight="1" x14ac:dyDescent="0.25">
      <c r="N146" s="9"/>
      <c r="S146" s="50" t="e">
        <v>#DIV/0!</v>
      </c>
      <c r="T146" s="50" t="e">
        <v>#DIV/0!</v>
      </c>
      <c r="U146" s="50" t="e">
        <v>#DIV/0!</v>
      </c>
      <c r="V146" s="12"/>
      <c r="W146" s="12"/>
    </row>
    <row r="147" spans="2:23" ht="15" hidden="1" customHeight="1" x14ac:dyDescent="0.25">
      <c r="B147" s="21">
        <v>0.55018950744558992</v>
      </c>
      <c r="C147" s="21">
        <v>0.55018950744558992</v>
      </c>
      <c r="N147" s="9"/>
      <c r="S147" s="50" t="e">
        <v>#DIV/0!</v>
      </c>
      <c r="T147" s="50" t="e">
        <v>#DIV/0!</v>
      </c>
      <c r="U147" s="50" t="e">
        <v>#DIV/0!</v>
      </c>
      <c r="V147" s="12"/>
      <c r="W147" s="12"/>
    </row>
    <row r="148" spans="2:23" ht="15" hidden="1" customHeight="1" x14ac:dyDescent="0.25">
      <c r="B148" s="21">
        <v>0.36679301260022912</v>
      </c>
      <c r="C148" s="21">
        <v>0.36679303550973652</v>
      </c>
      <c r="N148" s="9"/>
      <c r="S148" s="50" t="e">
        <v>#DIV/0!</v>
      </c>
      <c r="T148" s="50" t="e">
        <v>#DIV/0!</v>
      </c>
      <c r="U148" s="50" t="e">
        <v>#DIV/0!</v>
      </c>
      <c r="V148" s="12"/>
      <c r="W148" s="12"/>
    </row>
    <row r="149" spans="2:23" ht="15" hidden="1" customHeight="1" x14ac:dyDescent="0.25">
      <c r="B149" s="21">
        <v>8.3017479954180989E-2</v>
      </c>
      <c r="C149" s="21">
        <v>8.3017457044673545E-2</v>
      </c>
      <c r="N149" s="9"/>
      <c r="S149" s="50" t="e">
        <v>#DIV/0!</v>
      </c>
      <c r="T149" s="50" t="e">
        <v>#DIV/0!</v>
      </c>
      <c r="U149" s="50" t="e">
        <v>#DIV/0!</v>
      </c>
      <c r="V149" s="12"/>
      <c r="W149" s="12"/>
    </row>
    <row r="150" spans="2:23" ht="15" hidden="1" customHeight="1" x14ac:dyDescent="0.25">
      <c r="N150" s="9"/>
      <c r="S150" s="50" t="e">
        <v>#DIV/0!</v>
      </c>
      <c r="T150" s="50" t="e">
        <v>#DIV/0!</v>
      </c>
      <c r="U150" s="50" t="e">
        <v>#DIV/0!</v>
      </c>
      <c r="V150" s="12"/>
      <c r="W150" s="12"/>
    </row>
    <row r="151" spans="2:23" ht="15" hidden="1" customHeight="1" x14ac:dyDescent="0.25">
      <c r="N151" s="9"/>
      <c r="S151" s="50" t="e">
        <v>#DIV/0!</v>
      </c>
      <c r="T151" s="50" t="e">
        <v>#DIV/0!</v>
      </c>
      <c r="U151" s="50" t="e">
        <v>#DIV/0!</v>
      </c>
      <c r="V151" s="12"/>
      <c r="W151" s="12"/>
    </row>
    <row r="152" spans="2:23" ht="15" hidden="1" customHeight="1" x14ac:dyDescent="0.25">
      <c r="B152" s="21">
        <v>3492000</v>
      </c>
      <c r="C152" s="21">
        <v>873000</v>
      </c>
      <c r="E152" s="21">
        <v>611100</v>
      </c>
      <c r="F152" s="21">
        <v>152775</v>
      </c>
      <c r="N152" s="9"/>
      <c r="S152" s="50">
        <v>0</v>
      </c>
      <c r="T152" s="50">
        <v>0</v>
      </c>
      <c r="U152" s="50" t="e">
        <v>#DIV/0!</v>
      </c>
      <c r="V152" s="12"/>
      <c r="W152" s="12"/>
    </row>
    <row r="153" spans="2:23" ht="15" hidden="1" customHeight="1" x14ac:dyDescent="0.25">
      <c r="B153" s="21">
        <v>1921261.76</v>
      </c>
      <c r="C153" s="21">
        <v>480315.44</v>
      </c>
      <c r="E153" s="21">
        <v>336220.80800000002</v>
      </c>
      <c r="F153" s="21">
        <v>84055.202000000005</v>
      </c>
      <c r="N153" s="9"/>
      <c r="S153" s="50">
        <v>0</v>
      </c>
      <c r="T153" s="50">
        <v>0</v>
      </c>
      <c r="U153" s="50" t="e">
        <v>#DIV/0!</v>
      </c>
      <c r="V153" s="12"/>
      <c r="W153" s="12"/>
    </row>
    <row r="154" spans="2:23" ht="15" hidden="1" customHeight="1" x14ac:dyDescent="0.25">
      <c r="B154" s="21">
        <v>1280841.2000000002</v>
      </c>
      <c r="C154" s="21">
        <v>320210.32</v>
      </c>
      <c r="E154" s="21">
        <v>224147.21000000002</v>
      </c>
      <c r="F154" s="21">
        <v>56036.805999999997</v>
      </c>
      <c r="N154" s="9"/>
      <c r="S154" s="50">
        <v>0</v>
      </c>
      <c r="T154" s="50">
        <v>0</v>
      </c>
      <c r="U154" s="50" t="e">
        <v>#DIV/0!</v>
      </c>
      <c r="V154" s="12"/>
      <c r="W154" s="12"/>
    </row>
    <row r="155" spans="2:23" ht="15" hidden="1" customHeight="1" x14ac:dyDescent="0.25">
      <c r="B155" s="21">
        <v>289897.04000000004</v>
      </c>
      <c r="C155" s="21">
        <v>72474.240000000005</v>
      </c>
      <c r="E155" s="21">
        <v>50731.982000000004</v>
      </c>
      <c r="F155" s="21">
        <v>12682.992</v>
      </c>
      <c r="N155" s="9"/>
      <c r="S155" s="50">
        <v>0</v>
      </c>
      <c r="T155" s="50">
        <v>0</v>
      </c>
      <c r="U155" s="50" t="e">
        <v>#DIV/0!</v>
      </c>
      <c r="V155" s="12"/>
      <c r="W155" s="12"/>
    </row>
    <row r="156" spans="2:23" ht="15" hidden="1" customHeight="1" x14ac:dyDescent="0.25">
      <c r="N156" s="9"/>
      <c r="S156" s="50" t="e">
        <v>#DIV/0!</v>
      </c>
      <c r="T156" s="50" t="e">
        <v>#DIV/0!</v>
      </c>
      <c r="U156" s="50" t="e">
        <v>#DIV/0!</v>
      </c>
      <c r="V156" s="12"/>
      <c r="W156" s="12"/>
    </row>
    <row r="157" spans="2:23" ht="15" hidden="1" customHeight="1" x14ac:dyDescent="0.25">
      <c r="N157" s="9"/>
      <c r="S157" s="50" t="e">
        <v>#DIV/0!</v>
      </c>
      <c r="T157" s="50" t="e">
        <v>#DIV/0!</v>
      </c>
      <c r="U157" s="50" t="e">
        <v>#DIV/0!</v>
      </c>
      <c r="V157" s="12"/>
      <c r="W157" s="12"/>
    </row>
    <row r="158" spans="2:23" ht="15" hidden="1" customHeight="1" x14ac:dyDescent="0.25">
      <c r="N158" s="9"/>
      <c r="S158" s="50" t="e">
        <v>#DIV/0!</v>
      </c>
      <c r="T158" s="50" t="e">
        <v>#DIV/0!</v>
      </c>
      <c r="U158" s="50" t="e">
        <v>#DIV/0!</v>
      </c>
      <c r="V158" s="12"/>
      <c r="W158" s="12"/>
    </row>
    <row r="159" spans="2:23" ht="15" hidden="1" customHeight="1" x14ac:dyDescent="0.25">
      <c r="B159" s="21">
        <v>-0.95299999999999996</v>
      </c>
      <c r="N159" s="9"/>
      <c r="S159" s="50" t="e">
        <v>#DIV/0!</v>
      </c>
      <c r="T159" s="50" t="e">
        <v>#DIV/0!</v>
      </c>
      <c r="U159" s="50" t="e">
        <v>#DIV/0!</v>
      </c>
      <c r="V159" s="12"/>
      <c r="W159" s="12"/>
    </row>
    <row r="160" spans="2:23" ht="15" hidden="1" customHeight="1" x14ac:dyDescent="0.25">
      <c r="B160" s="21">
        <v>-83196900</v>
      </c>
      <c r="N160" s="9"/>
      <c r="S160" s="50" t="e">
        <v>#DIV/0!</v>
      </c>
      <c r="T160" s="50" t="e">
        <v>#DIV/0!</v>
      </c>
      <c r="U160" s="50" t="e">
        <v>#DIV/0!</v>
      </c>
      <c r="V160" s="12"/>
      <c r="W160" s="12"/>
    </row>
    <row r="161" spans="1:23" ht="15" hidden="1" customHeight="1" x14ac:dyDescent="0.25">
      <c r="N161" s="9"/>
      <c r="S161" s="50" t="e">
        <v>#DIV/0!</v>
      </c>
      <c r="T161" s="50" t="e">
        <v>#DIV/0!</v>
      </c>
      <c r="U161" s="50" t="e">
        <v>#DIV/0!</v>
      </c>
      <c r="V161" s="12"/>
      <c r="W161" s="12"/>
    </row>
    <row r="162" spans="1:23" ht="15" hidden="1" customHeight="1" x14ac:dyDescent="0.25">
      <c r="N162" s="9"/>
      <c r="S162" s="50" t="e">
        <v>#DIV/0!</v>
      </c>
      <c r="T162" s="50" t="e">
        <v>#DIV/0!</v>
      </c>
      <c r="U162" s="50" t="e">
        <v>#DIV/0!</v>
      </c>
      <c r="V162" s="12"/>
      <c r="W162" s="12"/>
    </row>
    <row r="163" spans="1:23" ht="15" hidden="1" customHeight="1" x14ac:dyDescent="0.25">
      <c r="N163" s="9"/>
    </row>
    <row r="164" spans="1:23" ht="15" hidden="1" customHeight="1" x14ac:dyDescent="0.25">
      <c r="N164" s="9"/>
      <c r="V164" s="12"/>
      <c r="W164" s="12"/>
    </row>
    <row r="165" spans="1:23" ht="15" hidden="1" customHeight="1" x14ac:dyDescent="0.25">
      <c r="N165" s="9"/>
      <c r="V165" s="12"/>
      <c r="W165" s="12"/>
    </row>
    <row r="166" spans="1:23" ht="15" hidden="1" customHeight="1" x14ac:dyDescent="0.25">
      <c r="N166" s="9"/>
    </row>
    <row r="167" spans="1:23" ht="15" hidden="1" customHeight="1" x14ac:dyDescent="0.25">
      <c r="M167" s="86"/>
      <c r="N167" s="9"/>
    </row>
    <row r="168" spans="1:23" x14ac:dyDescent="0.25">
      <c r="A168" s="29" t="s">
        <v>53</v>
      </c>
      <c r="B168" s="30">
        <v>269675924.87</v>
      </c>
      <c r="C168" s="30">
        <v>60183721.75</v>
      </c>
      <c r="D168" s="30">
        <v>329859646.62</v>
      </c>
      <c r="E168" s="30">
        <v>259471960.03</v>
      </c>
      <c r="F168" s="30">
        <v>34683297.200000003</v>
      </c>
      <c r="G168" s="30">
        <v>294155257.23000002</v>
      </c>
      <c r="H168" s="30">
        <v>181352535.79999998</v>
      </c>
      <c r="I168" s="30">
        <v>26488141.709999997</v>
      </c>
      <c r="J168" s="30">
        <v>207840677.51000002</v>
      </c>
      <c r="K168" s="30">
        <v>74024427.329999998</v>
      </c>
      <c r="L168" s="30">
        <v>14965672.489999998</v>
      </c>
      <c r="M168" s="30">
        <v>88990099.819999978</v>
      </c>
      <c r="N168" s="9"/>
      <c r="S168" s="32">
        <v>0.69892922448742478</v>
      </c>
      <c r="T168" s="32">
        <v>0.76371463639275894</v>
      </c>
      <c r="U168" s="32">
        <v>0.70656795145255347</v>
      </c>
      <c r="V168" s="12"/>
      <c r="W168" s="12"/>
    </row>
    <row r="169" spans="1:23" x14ac:dyDescent="0.25">
      <c r="M169" s="99"/>
    </row>
    <row r="170" spans="1:23" ht="30.75" hidden="1" customHeight="1" x14ac:dyDescent="0.25">
      <c r="A170" s="146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T170" s="52"/>
    </row>
    <row r="171" spans="1:23" ht="18.75" customHeight="1" x14ac:dyDescent="0.25">
      <c r="A171" s="144" t="s">
        <v>147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T171" s="52"/>
    </row>
    <row r="172" spans="1:23" ht="4.5" customHeight="1" x14ac:dyDescent="0.25">
      <c r="A172" s="155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</row>
    <row r="173" spans="1:23" ht="54" customHeight="1" x14ac:dyDescent="0.25">
      <c r="A173" s="176" t="s">
        <v>184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</row>
    <row r="175" spans="1:23" x14ac:dyDescent="0.25">
      <c r="A175" s="172" t="s">
        <v>179</v>
      </c>
      <c r="B175" s="172"/>
      <c r="C175" s="172"/>
      <c r="D175" s="172"/>
      <c r="E175" s="172"/>
      <c r="F175" s="172"/>
      <c r="G175" s="172"/>
      <c r="H175" s="172"/>
      <c r="I175" s="111"/>
      <c r="J175" s="111"/>
    </row>
    <row r="176" spans="1:23" ht="22.5" customHeight="1" x14ac:dyDescent="0.25">
      <c r="A176" s="171" t="s">
        <v>173</v>
      </c>
      <c r="B176" s="171"/>
      <c r="C176" s="171"/>
      <c r="D176" s="171"/>
      <c r="E176" s="171"/>
      <c r="F176" s="171"/>
      <c r="G176" s="171"/>
      <c r="H176" s="171"/>
      <c r="I176" s="71">
        <v>285600</v>
      </c>
      <c r="J176" s="111"/>
    </row>
    <row r="177" spans="1:10" x14ac:dyDescent="0.25">
      <c r="A177" s="171" t="s">
        <v>174</v>
      </c>
      <c r="B177" s="171"/>
      <c r="C177" s="171"/>
      <c r="D177" s="171"/>
      <c r="E177" s="171"/>
      <c r="F177" s="171"/>
      <c r="G177" s="171"/>
      <c r="H177" s="171"/>
      <c r="I177" s="71">
        <v>418880</v>
      </c>
      <c r="J177" s="111"/>
    </row>
    <row r="178" spans="1:10" x14ac:dyDescent="0.25">
      <c r="A178" s="171" t="s">
        <v>175</v>
      </c>
      <c r="B178" s="171"/>
      <c r="C178" s="171"/>
      <c r="D178" s="171"/>
      <c r="E178" s="171"/>
      <c r="F178" s="171"/>
      <c r="G178" s="171"/>
      <c r="H178" s="171"/>
      <c r="I178" s="71">
        <v>57119.999999999993</v>
      </c>
      <c r="J178" s="111"/>
    </row>
    <row r="179" spans="1:10" x14ac:dyDescent="0.25">
      <c r="A179" s="171" t="s">
        <v>38</v>
      </c>
      <c r="B179" s="171"/>
      <c r="C179" s="171"/>
      <c r="D179" s="171"/>
      <c r="E179" s="171"/>
      <c r="F179" s="171"/>
      <c r="G179" s="171"/>
      <c r="H179" s="171"/>
      <c r="I179" s="71">
        <v>333200</v>
      </c>
      <c r="J179" s="111"/>
    </row>
    <row r="180" spans="1:10" x14ac:dyDescent="0.25">
      <c r="A180" s="171" t="s">
        <v>176</v>
      </c>
      <c r="B180" s="171"/>
      <c r="C180" s="171"/>
      <c r="D180" s="171"/>
      <c r="E180" s="171"/>
      <c r="F180" s="171"/>
      <c r="G180" s="171"/>
      <c r="H180" s="171"/>
      <c r="I180" s="71">
        <v>190400</v>
      </c>
      <c r="J180" s="113">
        <f>SUM(I176:I185)</f>
        <v>5731040</v>
      </c>
    </row>
    <row r="181" spans="1:10" x14ac:dyDescent="0.25">
      <c r="A181" s="171" t="s">
        <v>40</v>
      </c>
      <c r="B181" s="171"/>
      <c r="C181" s="171"/>
      <c r="D181" s="171"/>
      <c r="E181" s="171"/>
      <c r="F181" s="171"/>
      <c r="G181" s="171"/>
      <c r="H181" s="171"/>
      <c r="I181" s="71">
        <v>285600</v>
      </c>
      <c r="J181" s="111"/>
    </row>
    <row r="182" spans="1:10" x14ac:dyDescent="0.25">
      <c r="A182" s="171" t="s">
        <v>177</v>
      </c>
      <c r="B182" s="171"/>
      <c r="C182" s="171"/>
      <c r="D182" s="171"/>
      <c r="E182" s="171"/>
      <c r="F182" s="171"/>
      <c r="G182" s="171"/>
      <c r="H182" s="171"/>
      <c r="I182" s="71">
        <v>1066240</v>
      </c>
      <c r="J182" s="111"/>
    </row>
    <row r="183" spans="1:10" x14ac:dyDescent="0.25">
      <c r="A183" s="171" t="s">
        <v>43</v>
      </c>
      <c r="B183" s="171"/>
      <c r="C183" s="171"/>
      <c r="D183" s="171"/>
      <c r="E183" s="171"/>
      <c r="F183" s="171"/>
      <c r="G183" s="171"/>
      <c r="H183" s="171"/>
      <c r="I183" s="71">
        <v>238000</v>
      </c>
      <c r="J183" s="111"/>
    </row>
    <row r="184" spans="1:10" x14ac:dyDescent="0.25">
      <c r="A184" s="171" t="s">
        <v>180</v>
      </c>
      <c r="B184" s="171"/>
      <c r="C184" s="171"/>
      <c r="D184" s="171"/>
      <c r="E184" s="171"/>
      <c r="F184" s="171"/>
      <c r="G184" s="171"/>
      <c r="H184" s="171"/>
      <c r="I184" s="71">
        <v>1904000</v>
      </c>
      <c r="J184" s="111"/>
    </row>
    <row r="185" spans="1:10" ht="24.75" customHeight="1" x14ac:dyDescent="0.25">
      <c r="A185" s="171" t="s">
        <v>181</v>
      </c>
      <c r="B185" s="171"/>
      <c r="C185" s="171"/>
      <c r="D185" s="171"/>
      <c r="E185" s="171"/>
      <c r="F185" s="171"/>
      <c r="G185" s="171"/>
      <c r="H185" s="171"/>
      <c r="I185" s="71">
        <v>952000</v>
      </c>
      <c r="J185" s="111"/>
    </row>
    <row r="186" spans="1:10" x14ac:dyDescent="0.25">
      <c r="A186" s="112"/>
      <c r="B186" s="111"/>
      <c r="C186" s="111"/>
      <c r="D186" s="111"/>
      <c r="E186" s="111"/>
      <c r="F186" s="111"/>
      <c r="G186" s="111"/>
      <c r="H186" s="111"/>
      <c r="J186" s="111"/>
    </row>
    <row r="187" spans="1:10" x14ac:dyDescent="0.25">
      <c r="A187" s="112"/>
      <c r="B187" s="111"/>
      <c r="C187" s="111"/>
      <c r="D187" s="111"/>
      <c r="E187" s="111"/>
      <c r="F187" s="111"/>
      <c r="G187" s="111"/>
      <c r="H187" s="111"/>
      <c r="I187" s="111"/>
      <c r="J187" s="111"/>
    </row>
    <row r="188" spans="1:10" x14ac:dyDescent="0.25">
      <c r="A188" s="112"/>
      <c r="B188" s="111"/>
      <c r="C188" s="111"/>
      <c r="D188" s="111"/>
      <c r="E188" s="111"/>
      <c r="F188" s="111"/>
      <c r="G188" s="111"/>
      <c r="H188" s="111"/>
      <c r="I188" s="111"/>
      <c r="J188" s="111"/>
    </row>
  </sheetData>
  <protectedRanges>
    <protectedRange sqref="I176:I182 C33 B31:B33" name="Rango26_1"/>
    <protectedRange sqref="I176:I182 C33 B31:B33" name="Rango16_1"/>
    <protectedRange sqref="I183" name="Rango26_1_2"/>
    <protectedRange sqref="I183" name="Rango16_1_2"/>
  </protectedRanges>
  <mergeCells count="20">
    <mergeCell ref="A173:M173"/>
    <mergeCell ref="A172:M172"/>
    <mergeCell ref="A1:M1"/>
    <mergeCell ref="L4:M4"/>
    <mergeCell ref="B5:D5"/>
    <mergeCell ref="E5:G5"/>
    <mergeCell ref="H5:J5"/>
    <mergeCell ref="K5:M5"/>
    <mergeCell ref="S5:U5"/>
    <mergeCell ref="A184:H184"/>
    <mergeCell ref="A185:H185"/>
    <mergeCell ref="A175:H175"/>
    <mergeCell ref="A179:H179"/>
    <mergeCell ref="A180:H180"/>
    <mergeCell ref="A181:H181"/>
    <mergeCell ref="A182:H182"/>
    <mergeCell ref="A183:H183"/>
    <mergeCell ref="A176:H176"/>
    <mergeCell ref="A177:H177"/>
    <mergeCell ref="A178:H178"/>
  </mergeCells>
  <printOptions horizontalCentered="1"/>
  <pageMargins left="0.94488188976377963" right="0.70866141732283472" top="0.39370078740157483" bottom="0.55118110236220474" header="0.31496062992125984" footer="0.31496062992125984"/>
  <pageSetup paperSize="5" scale="58" fitToHeight="2" orientation="landscape" r:id="rId1"/>
  <rowBreaks count="1" manualBreakCount="1">
    <brk id="5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="62" zoomScaleNormal="62" workbookViewId="0">
      <selection activeCell="A32" sqref="A32"/>
    </sheetView>
  </sheetViews>
  <sheetFormatPr baseColWidth="10" defaultRowHeight="15" x14ac:dyDescent="0.25"/>
  <cols>
    <col min="1" max="1" width="34.85546875" style="64" customWidth="1"/>
    <col min="2" max="2" width="0" hidden="1" customWidth="1"/>
    <col min="3" max="3" width="16.7109375" customWidth="1"/>
    <col min="4" max="4" width="17.7109375" customWidth="1"/>
    <col min="5" max="5" width="18.28515625" bestFit="1" customWidth="1"/>
    <col min="6" max="6" width="14.5703125" bestFit="1" customWidth="1"/>
    <col min="7" max="7" width="19.42578125" customWidth="1"/>
    <col min="8" max="8" width="18.140625" customWidth="1"/>
    <col min="9" max="9" width="0" hidden="1" customWidth="1"/>
    <col min="10" max="10" width="12.5703125" hidden="1" customWidth="1"/>
    <col min="11" max="11" width="0" hidden="1" customWidth="1"/>
    <col min="12" max="12" width="13.5703125" style="3" hidden="1" customWidth="1"/>
    <col min="13" max="13" width="6.5703125" style="3" hidden="1" customWidth="1"/>
    <col min="14" max="14" width="12.28515625" customWidth="1"/>
    <col min="15" max="15" width="5.5703125" bestFit="1" customWidth="1"/>
    <col min="16" max="16" width="0" hidden="1" customWidth="1"/>
    <col min="17" max="17" width="13.5703125" style="3" bestFit="1" customWidth="1"/>
    <col min="18" max="18" width="23.85546875" style="3" bestFit="1" customWidth="1"/>
    <col min="20" max="20" width="12.5703125" bestFit="1" customWidth="1"/>
    <col min="22" max="22" width="12.5703125" style="58" bestFit="1" customWidth="1"/>
    <col min="23" max="23" width="25.85546875" bestFit="1" customWidth="1"/>
    <col min="26" max="26" width="23.42578125" bestFit="1" customWidth="1"/>
  </cols>
  <sheetData>
    <row r="1" spans="1:14" ht="23.25" x14ac:dyDescent="0.25">
      <c r="A1" s="178" t="s">
        <v>78</v>
      </c>
      <c r="B1" s="178"/>
      <c r="C1" s="178"/>
      <c r="D1" s="178"/>
      <c r="E1" s="178"/>
      <c r="F1" s="178"/>
      <c r="G1" s="178"/>
      <c r="H1" s="178"/>
    </row>
    <row r="3" spans="1:14" x14ac:dyDescent="0.25">
      <c r="C3" s="165" t="s">
        <v>52</v>
      </c>
      <c r="D3" s="165"/>
      <c r="E3" s="165"/>
      <c r="F3" s="165" t="s">
        <v>1</v>
      </c>
      <c r="G3" s="165"/>
      <c r="H3" s="165"/>
    </row>
    <row r="4" spans="1:14" x14ac:dyDescent="0.25">
      <c r="C4" s="15" t="s">
        <v>4</v>
      </c>
      <c r="D4" s="15" t="s">
        <v>5</v>
      </c>
      <c r="E4" s="15" t="s">
        <v>6</v>
      </c>
      <c r="F4" s="15" t="s">
        <v>4</v>
      </c>
      <c r="G4" s="15" t="s">
        <v>5</v>
      </c>
      <c r="H4" s="15" t="s">
        <v>6</v>
      </c>
    </row>
    <row r="5" spans="1:14" x14ac:dyDescent="0.25">
      <c r="A5" s="4" t="s">
        <v>73</v>
      </c>
      <c r="B5" s="9"/>
      <c r="C5" s="18">
        <v>53833620</v>
      </c>
      <c r="D5" s="18">
        <v>10070000</v>
      </c>
      <c r="E5" s="18">
        <f t="shared" ref="E5:E10" si="0">+D5+C5</f>
        <v>63903620</v>
      </c>
      <c r="F5" s="18">
        <f>9600200.38+804070.93+22088768.5+17257844.47+4082735.71</f>
        <v>53833619.990000002</v>
      </c>
      <c r="G5" s="18">
        <f>2800000+900000+815000</f>
        <v>4515000</v>
      </c>
      <c r="H5" s="18">
        <f t="shared" ref="H5:H24" si="1">+G5+F5</f>
        <v>58348619.990000002</v>
      </c>
    </row>
    <row r="6" spans="1:14" x14ac:dyDescent="0.25">
      <c r="A6" s="22" t="s">
        <v>44</v>
      </c>
      <c r="B6" s="9"/>
      <c r="C6" s="18">
        <v>1955010.4105263154</v>
      </c>
      <c r="D6" s="18">
        <v>365699.99999999994</v>
      </c>
      <c r="E6" s="18">
        <f t="shared" si="0"/>
        <v>2320710.4105263152</v>
      </c>
      <c r="F6" s="18">
        <f>665836.88+396668.78</f>
        <v>1062505.6600000001</v>
      </c>
      <c r="G6" s="18">
        <v>221371.81</v>
      </c>
      <c r="H6" s="18">
        <f t="shared" si="1"/>
        <v>1283877.4700000002</v>
      </c>
    </row>
    <row r="7" spans="1:14" x14ac:dyDescent="0.25">
      <c r="A7" s="22" t="s">
        <v>45</v>
      </c>
      <c r="B7" s="9"/>
      <c r="C7" s="18">
        <v>141667.42105263157</v>
      </c>
      <c r="D7" s="18">
        <v>26500</v>
      </c>
      <c r="E7" s="18">
        <f t="shared" si="0"/>
        <v>168167.42105263157</v>
      </c>
      <c r="F7" s="18"/>
      <c r="G7" s="18"/>
      <c r="H7" s="18">
        <f t="shared" si="1"/>
        <v>0</v>
      </c>
    </row>
    <row r="8" spans="1:14" x14ac:dyDescent="0.25">
      <c r="A8" s="22" t="s">
        <v>46</v>
      </c>
      <c r="B8" s="9"/>
      <c r="C8" s="18">
        <v>368335.2947368421</v>
      </c>
      <c r="D8" s="18">
        <v>68900</v>
      </c>
      <c r="E8" s="18">
        <f t="shared" si="0"/>
        <v>437235.2947368421</v>
      </c>
      <c r="F8" s="18"/>
      <c r="G8" s="18"/>
      <c r="H8" s="18">
        <f t="shared" si="1"/>
        <v>0</v>
      </c>
    </row>
    <row r="9" spans="1:14" x14ac:dyDescent="0.25">
      <c r="A9" s="22" t="s">
        <v>47</v>
      </c>
      <c r="B9" s="9"/>
      <c r="C9" s="18">
        <v>170000.90526315791</v>
      </c>
      <c r="D9" s="18">
        <v>31800</v>
      </c>
      <c r="E9" s="18">
        <f t="shared" si="0"/>
        <v>201800.90526315791</v>
      </c>
      <c r="F9" s="18">
        <v>164000</v>
      </c>
      <c r="G9" s="18"/>
      <c r="H9" s="18">
        <f t="shared" si="1"/>
        <v>164000</v>
      </c>
      <c r="N9" s="54"/>
    </row>
    <row r="10" spans="1:14" x14ac:dyDescent="0.25">
      <c r="A10" s="22" t="s">
        <v>48</v>
      </c>
      <c r="B10" s="9"/>
      <c r="C10" s="18">
        <v>198334.38947368422</v>
      </c>
      <c r="D10" s="18">
        <v>37100</v>
      </c>
      <c r="E10" s="18">
        <f t="shared" si="0"/>
        <v>235434.38947368422</v>
      </c>
      <c r="F10" s="18"/>
      <c r="G10" s="18"/>
      <c r="H10" s="18">
        <f t="shared" si="1"/>
        <v>0</v>
      </c>
    </row>
    <row r="11" spans="1:14" x14ac:dyDescent="0.25">
      <c r="A11" s="23" t="s">
        <v>21</v>
      </c>
      <c r="B11" s="24"/>
      <c r="C11" s="25">
        <f t="shared" ref="C11:H11" si="2">SUM(C5:C10)</f>
        <v>56666968.421052627</v>
      </c>
      <c r="D11" s="25">
        <f t="shared" si="2"/>
        <v>10600000</v>
      </c>
      <c r="E11" s="25">
        <f t="shared" si="2"/>
        <v>67266968.421052635</v>
      </c>
      <c r="F11" s="25">
        <f t="shared" si="2"/>
        <v>55060125.650000006</v>
      </c>
      <c r="G11" s="25">
        <f t="shared" si="2"/>
        <v>4736371.8099999996</v>
      </c>
      <c r="H11" s="25">
        <f t="shared" si="2"/>
        <v>59796497.460000001</v>
      </c>
    </row>
    <row r="12" spans="1:14" x14ac:dyDescent="0.25">
      <c r="A12" s="4" t="s">
        <v>75</v>
      </c>
      <c r="B12" s="9"/>
      <c r="C12" s="18">
        <v>4440000</v>
      </c>
      <c r="D12" s="18">
        <v>0</v>
      </c>
      <c r="E12" s="18">
        <f t="shared" ref="E12:E17" si="3">+D12+C12</f>
        <v>4440000</v>
      </c>
      <c r="F12" s="18">
        <f>730513.44+572235.53+1400150.75+1404769.98+332330.3</f>
        <v>4440000</v>
      </c>
      <c r="G12" s="18"/>
      <c r="H12" s="18">
        <f t="shared" si="1"/>
        <v>4440000</v>
      </c>
    </row>
    <row r="13" spans="1:14" x14ac:dyDescent="0.25">
      <c r="A13" s="22" t="s">
        <v>44</v>
      </c>
      <c r="B13" s="9"/>
      <c r="C13" s="18">
        <v>161242.10526315786</v>
      </c>
      <c r="D13" s="18"/>
      <c r="E13" s="18">
        <f t="shared" si="3"/>
        <v>161242.10526315786</v>
      </c>
      <c r="F13" s="18">
        <f>54915.79+32715.79</f>
        <v>87631.58</v>
      </c>
      <c r="G13" s="18"/>
      <c r="H13" s="18">
        <f t="shared" si="1"/>
        <v>87631.58</v>
      </c>
    </row>
    <row r="14" spans="1:14" x14ac:dyDescent="0.25">
      <c r="A14" s="22" t="s">
        <v>45</v>
      </c>
      <c r="B14" s="9"/>
      <c r="C14" s="18">
        <v>11684.21052631579</v>
      </c>
      <c r="D14" s="18"/>
      <c r="E14" s="18">
        <f t="shared" si="3"/>
        <v>11684.21052631579</v>
      </c>
      <c r="F14" s="18"/>
      <c r="G14" s="18"/>
      <c r="H14" s="18">
        <f t="shared" si="1"/>
        <v>0</v>
      </c>
    </row>
    <row r="15" spans="1:14" x14ac:dyDescent="0.25">
      <c r="A15" s="22" t="s">
        <v>46</v>
      </c>
      <c r="B15" s="9"/>
      <c r="C15" s="18">
        <v>30378.947368421053</v>
      </c>
      <c r="D15" s="18"/>
      <c r="E15" s="18">
        <f t="shared" si="3"/>
        <v>30378.947368421053</v>
      </c>
      <c r="F15" s="18"/>
      <c r="G15" s="18"/>
      <c r="H15" s="18">
        <f t="shared" si="1"/>
        <v>0</v>
      </c>
    </row>
    <row r="16" spans="1:14" x14ac:dyDescent="0.25">
      <c r="A16" s="22" t="s">
        <v>47</v>
      </c>
      <c r="B16" s="9"/>
      <c r="C16" s="18">
        <v>14021.052631578948</v>
      </c>
      <c r="D16" s="18"/>
      <c r="E16" s="18">
        <f t="shared" si="3"/>
        <v>14021.052631578948</v>
      </c>
      <c r="F16" s="18"/>
      <c r="G16" s="18"/>
      <c r="H16" s="18">
        <f t="shared" si="1"/>
        <v>0</v>
      </c>
    </row>
    <row r="17" spans="1:23" x14ac:dyDescent="0.25">
      <c r="A17" s="22" t="s">
        <v>48</v>
      </c>
      <c r="B17" s="9"/>
      <c r="C17" s="18">
        <v>16357.894736842107</v>
      </c>
      <c r="D17" s="18"/>
      <c r="E17" s="18">
        <f t="shared" si="3"/>
        <v>16357.894736842107</v>
      </c>
      <c r="F17" s="18"/>
      <c r="G17" s="18"/>
      <c r="H17" s="18">
        <f t="shared" si="1"/>
        <v>0</v>
      </c>
    </row>
    <row r="18" spans="1:23" x14ac:dyDescent="0.25">
      <c r="A18" s="23" t="s">
        <v>22</v>
      </c>
      <c r="B18" s="24"/>
      <c r="C18" s="25">
        <f t="shared" ref="C18:H18" si="4">SUM(C12:C17)</f>
        <v>4673684.2105263155</v>
      </c>
      <c r="D18" s="25">
        <f t="shared" si="4"/>
        <v>0</v>
      </c>
      <c r="E18" s="25">
        <f t="shared" si="4"/>
        <v>4673684.2105263155</v>
      </c>
      <c r="F18" s="25">
        <f t="shared" si="4"/>
        <v>4527631.58</v>
      </c>
      <c r="G18" s="25">
        <f t="shared" si="4"/>
        <v>0</v>
      </c>
      <c r="H18" s="25">
        <f t="shared" si="4"/>
        <v>4527631.58</v>
      </c>
    </row>
    <row r="19" spans="1:23" x14ac:dyDescent="0.25">
      <c r="A19" s="4" t="s">
        <v>16</v>
      </c>
      <c r="B19" s="9"/>
      <c r="C19" s="18">
        <v>4046380</v>
      </c>
      <c r="D19" s="18">
        <v>21090000</v>
      </c>
      <c r="E19" s="18">
        <f t="shared" ref="E19:E24" si="5">+D19+C19</f>
        <v>25136380</v>
      </c>
      <c r="F19" s="18">
        <f>2029503.07+712555.4+1054787.55+249533.99</f>
        <v>4046380.0100000007</v>
      </c>
      <c r="G19" s="18">
        <f>800000+3400000+1200000+2100000+1000000</f>
        <v>8500000</v>
      </c>
      <c r="H19" s="18">
        <f t="shared" si="1"/>
        <v>12546380.010000002</v>
      </c>
      <c r="O19" s="3"/>
    </row>
    <row r="20" spans="1:23" x14ac:dyDescent="0.25">
      <c r="A20" s="22" t="s">
        <v>44</v>
      </c>
      <c r="B20" s="9"/>
      <c r="C20" s="18">
        <v>146947.48421052628</v>
      </c>
      <c r="D20" s="18">
        <v>765899.99999999988</v>
      </c>
      <c r="E20" s="18">
        <f t="shared" si="5"/>
        <v>912847.48421052611</v>
      </c>
      <c r="F20" s="18">
        <f>50047.33+29815.43</f>
        <v>79862.760000000009</v>
      </c>
      <c r="G20" s="18">
        <v>463627.75</v>
      </c>
      <c r="H20" s="18">
        <f t="shared" si="1"/>
        <v>543490.51</v>
      </c>
      <c r="O20" s="3"/>
    </row>
    <row r="21" spans="1:23" x14ac:dyDescent="0.25">
      <c r="A21" s="22" t="s">
        <v>45</v>
      </c>
      <c r="B21" s="9"/>
      <c r="C21" s="18">
        <v>10648.368421052632</v>
      </c>
      <c r="D21" s="18">
        <v>55500.000000000007</v>
      </c>
      <c r="E21" s="18">
        <f t="shared" si="5"/>
        <v>66148.368421052641</v>
      </c>
      <c r="F21" s="18"/>
      <c r="G21" s="18"/>
      <c r="H21" s="18">
        <f t="shared" si="1"/>
        <v>0</v>
      </c>
      <c r="O21" s="3"/>
      <c r="Q21" s="3">
        <v>1230000</v>
      </c>
      <c r="R21" s="57"/>
      <c r="V21" s="58">
        <f>SUM(V22:V25)</f>
        <v>1230000</v>
      </c>
    </row>
    <row r="22" spans="1:23" x14ac:dyDescent="0.25">
      <c r="A22" s="22" t="s">
        <v>46</v>
      </c>
      <c r="B22" s="9"/>
      <c r="C22" s="18">
        <v>27685.757894736842</v>
      </c>
      <c r="D22" s="18">
        <v>144300</v>
      </c>
      <c r="E22" s="18">
        <f t="shared" si="5"/>
        <v>171985.75789473683</v>
      </c>
      <c r="F22" s="18"/>
      <c r="G22" s="18"/>
      <c r="H22" s="18">
        <f t="shared" si="1"/>
        <v>0</v>
      </c>
      <c r="O22" s="3"/>
      <c r="Q22" s="3">
        <v>684999.56</v>
      </c>
      <c r="R22" s="56"/>
    </row>
    <row r="23" spans="1:23" x14ac:dyDescent="0.25">
      <c r="A23" s="22" t="s">
        <v>47</v>
      </c>
      <c r="B23" s="9"/>
      <c r="C23" s="18">
        <v>12778.042105263157</v>
      </c>
      <c r="D23" s="18">
        <v>66600</v>
      </c>
      <c r="E23" s="18">
        <f t="shared" si="5"/>
        <v>79378.042105263157</v>
      </c>
      <c r="F23" s="18"/>
      <c r="G23" s="18"/>
      <c r="H23" s="18">
        <f t="shared" si="1"/>
        <v>0</v>
      </c>
      <c r="L23" s="3">
        <v>53833620</v>
      </c>
      <c r="M23" s="3">
        <v>99.5</v>
      </c>
      <c r="O23" s="3"/>
      <c r="Q23" s="3">
        <f>+Q22+Q21</f>
        <v>1914999.56</v>
      </c>
      <c r="V23" s="58">
        <v>1062505.6599999999</v>
      </c>
      <c r="W23" s="60">
        <f>+V23/$V$21</f>
        <v>0.8638257398373983</v>
      </c>
    </row>
    <row r="24" spans="1:23" x14ac:dyDescent="0.25">
      <c r="A24" s="22" t="s">
        <v>48</v>
      </c>
      <c r="B24" s="9"/>
      <c r="C24" s="18">
        <v>14907.715789473683</v>
      </c>
      <c r="D24" s="18">
        <v>77700</v>
      </c>
      <c r="E24" s="18">
        <f t="shared" si="5"/>
        <v>92607.715789473688</v>
      </c>
      <c r="F24" s="18"/>
      <c r="G24" s="18"/>
      <c r="H24" s="18">
        <f t="shared" si="1"/>
        <v>0</v>
      </c>
      <c r="L24" s="3">
        <f>+(L23*M24)/M23</f>
        <v>351676.91457286431</v>
      </c>
      <c r="M24" s="3">
        <v>0.65</v>
      </c>
      <c r="O24" s="3"/>
      <c r="V24" s="58">
        <v>87631.58</v>
      </c>
      <c r="W24" s="60">
        <f t="shared" ref="W24:W25" si="6">+V24/$V$21</f>
        <v>7.1245186991869922E-2</v>
      </c>
    </row>
    <row r="25" spans="1:23" x14ac:dyDescent="0.25">
      <c r="A25" s="23" t="s">
        <v>23</v>
      </c>
      <c r="B25" s="24"/>
      <c r="C25" s="25">
        <f t="shared" ref="C25:H25" si="7">SUM(C19:C24)</f>
        <v>4259347.3684210526</v>
      </c>
      <c r="D25" s="25">
        <f t="shared" si="7"/>
        <v>22200000</v>
      </c>
      <c r="E25" s="25">
        <f t="shared" si="7"/>
        <v>26459347.368421052</v>
      </c>
      <c r="F25" s="25">
        <f t="shared" si="7"/>
        <v>4126242.7700000005</v>
      </c>
      <c r="G25" s="25">
        <f t="shared" si="7"/>
        <v>8963627.75</v>
      </c>
      <c r="H25" s="25">
        <f t="shared" si="7"/>
        <v>13089870.520000001</v>
      </c>
      <c r="O25" s="3"/>
      <c r="V25" s="58">
        <v>79862.759999999995</v>
      </c>
      <c r="W25" s="60">
        <f t="shared" si="6"/>
        <v>6.4929073170731696E-2</v>
      </c>
    </row>
    <row r="26" spans="1:23" ht="24" x14ac:dyDescent="0.25">
      <c r="A26" s="29" t="s">
        <v>17</v>
      </c>
      <c r="B26" s="9"/>
      <c r="C26" s="30">
        <f>+C25+C18+C11</f>
        <v>65600000</v>
      </c>
      <c r="D26" s="30">
        <f t="shared" ref="D26:E26" si="8">+D25+D18+D11</f>
        <v>32800000</v>
      </c>
      <c r="E26" s="30">
        <f t="shared" si="8"/>
        <v>98400000</v>
      </c>
      <c r="F26" s="30">
        <f>+F25+F18+F11</f>
        <v>63714000.000000007</v>
      </c>
      <c r="G26" s="30">
        <f>+G25+G18+G11</f>
        <v>13699999.559999999</v>
      </c>
      <c r="H26" s="30">
        <f t="shared" ref="H26" si="9">+H25+H18+H11</f>
        <v>77413999.560000002</v>
      </c>
      <c r="O26" s="3"/>
    </row>
    <row r="27" spans="1:23" x14ac:dyDescent="0.25">
      <c r="V27" s="58">
        <f>SUM(V29:V34)</f>
        <v>684999.56</v>
      </c>
    </row>
    <row r="28" spans="1:23" ht="21" x14ac:dyDescent="0.35">
      <c r="A28" s="179" t="s">
        <v>79</v>
      </c>
      <c r="B28" s="179"/>
      <c r="C28" s="179"/>
      <c r="D28" s="179"/>
      <c r="E28" s="179"/>
      <c r="F28" s="179"/>
      <c r="G28" s="179"/>
      <c r="H28" s="179"/>
      <c r="S28" s="3"/>
    </row>
    <row r="29" spans="1:23" x14ac:dyDescent="0.25">
      <c r="A29" s="65"/>
      <c r="B29" s="53"/>
      <c r="C29" s="53"/>
      <c r="D29" s="53"/>
      <c r="E29" s="53"/>
      <c r="S29" s="3"/>
      <c r="V29" s="58">
        <v>221371.81</v>
      </c>
      <c r="W29" s="62">
        <f>+V29/$V$27</f>
        <v>0.3231707331315658</v>
      </c>
    </row>
    <row r="30" spans="1:23" x14ac:dyDescent="0.25">
      <c r="A30" s="65"/>
      <c r="B30" s="53"/>
      <c r="C30" s="165" t="s">
        <v>52</v>
      </c>
      <c r="D30" s="165"/>
      <c r="E30" s="165"/>
      <c r="F30" s="165" t="s">
        <v>1</v>
      </c>
      <c r="G30" s="165"/>
      <c r="H30" s="165"/>
      <c r="S30" s="3"/>
      <c r="W30" s="62"/>
    </row>
    <row r="31" spans="1:23" x14ac:dyDescent="0.25">
      <c r="A31" s="65"/>
      <c r="B31" s="53"/>
      <c r="C31" s="15" t="s">
        <v>4</v>
      </c>
      <c r="D31" s="15" t="s">
        <v>5</v>
      </c>
      <c r="E31" s="15" t="s">
        <v>6</v>
      </c>
      <c r="F31" s="15" t="s">
        <v>4</v>
      </c>
      <c r="G31" s="15" t="s">
        <v>5</v>
      </c>
      <c r="H31" s="15" t="s">
        <v>6</v>
      </c>
      <c r="S31" s="3"/>
      <c r="W31" s="62"/>
    </row>
    <row r="32" spans="1:23" x14ac:dyDescent="0.25">
      <c r="A32" s="4" t="s">
        <v>73</v>
      </c>
      <c r="B32" s="9"/>
      <c r="C32" s="18">
        <v>53833620</v>
      </c>
      <c r="D32" s="18">
        <v>10070000</v>
      </c>
      <c r="E32" s="18">
        <f t="shared" ref="E32:E38" si="10">+D32+C32</f>
        <v>63903620</v>
      </c>
      <c r="F32" s="18">
        <v>53833620</v>
      </c>
      <c r="G32" s="18">
        <v>4515000</v>
      </c>
      <c r="H32" s="18">
        <f t="shared" ref="H32:H38" si="11">+G32+F32</f>
        <v>58348620</v>
      </c>
      <c r="V32" s="58">
        <v>0</v>
      </c>
      <c r="W32" s="62">
        <f t="shared" ref="W32:W33" si="12">+V32/$V$27</f>
        <v>0</v>
      </c>
    </row>
    <row r="33" spans="1:23" x14ac:dyDescent="0.25">
      <c r="A33" s="22" t="s">
        <v>80</v>
      </c>
      <c r="B33" s="9"/>
      <c r="C33" s="18">
        <v>502447.12</v>
      </c>
      <c r="D33" s="18"/>
      <c r="E33" s="18">
        <f t="shared" si="10"/>
        <v>502447.12</v>
      </c>
      <c r="F33" s="18">
        <v>198334.38986666664</v>
      </c>
      <c r="G33" s="18"/>
      <c r="H33" s="18">
        <f t="shared" si="11"/>
        <v>198334.38986666664</v>
      </c>
      <c r="J33" s="3">
        <v>3280000</v>
      </c>
      <c r="L33" s="3">
        <f>+C33+C41+C49</f>
        <v>581653.33333333337</v>
      </c>
      <c r="N33" s="3">
        <v>229600</v>
      </c>
      <c r="O33" s="54">
        <f>+N33/$Q$21</f>
        <v>0.18666666666666668</v>
      </c>
      <c r="Q33" s="3">
        <f>+N33*$W$23</f>
        <v>198334.38986666664</v>
      </c>
      <c r="R33" s="3">
        <f>+N33*$W$24</f>
        <v>16357.894933333335</v>
      </c>
      <c r="S33" s="3">
        <f>+N33*$W$25</f>
        <v>14907.715199999997</v>
      </c>
      <c r="T33" s="54">
        <f>+S33+R33+Q33</f>
        <v>229599.99999999997</v>
      </c>
      <c r="U33" s="54">
        <f>+T33-N33</f>
        <v>0</v>
      </c>
      <c r="V33" s="58">
        <v>463627.75</v>
      </c>
      <c r="W33" s="62">
        <f t="shared" si="12"/>
        <v>0.67682926686843414</v>
      </c>
    </row>
    <row r="34" spans="1:23" x14ac:dyDescent="0.25">
      <c r="A34" s="22" t="s">
        <v>81</v>
      </c>
      <c r="B34" s="9"/>
      <c r="C34" s="18">
        <v>165089.76799999998</v>
      </c>
      <c r="D34" s="18"/>
      <c r="E34" s="18">
        <f t="shared" si="10"/>
        <v>165089.76799999998</v>
      </c>
      <c r="F34" s="18">
        <v>65167.013813333331</v>
      </c>
      <c r="G34" s="18"/>
      <c r="H34" s="18">
        <f t="shared" si="11"/>
        <v>65167.013813333331</v>
      </c>
      <c r="J34" s="3"/>
      <c r="L34" s="3">
        <f>+C34+C42+C50</f>
        <v>191114.66666666666</v>
      </c>
      <c r="N34" s="3">
        <v>75440</v>
      </c>
      <c r="O34" s="54">
        <f>+N34/$Q$21</f>
        <v>6.133333333333333E-2</v>
      </c>
      <c r="Q34" s="3">
        <f t="shared" ref="Q34:Q38" si="13">+N34*$W$23</f>
        <v>65167.013813333331</v>
      </c>
      <c r="R34" s="3">
        <f t="shared" ref="R34:R38" si="14">+N34*$W$24</f>
        <v>5374.736906666667</v>
      </c>
      <c r="S34" s="3">
        <f t="shared" ref="S34:S38" si="15">+N34*$W$25</f>
        <v>4898.2492799999991</v>
      </c>
      <c r="T34" s="54">
        <f>+S34+R34+Q34</f>
        <v>75440</v>
      </c>
      <c r="U34" s="54">
        <f>+T34-N34</f>
        <v>0</v>
      </c>
    </row>
    <row r="35" spans="1:23" x14ac:dyDescent="0.25">
      <c r="A35" s="22" t="s">
        <v>82</v>
      </c>
      <c r="B35" s="9"/>
      <c r="C35" s="18">
        <v>35889.08</v>
      </c>
      <c r="D35" s="18"/>
      <c r="E35" s="18">
        <f t="shared" si="10"/>
        <v>35889.08</v>
      </c>
      <c r="F35" s="18">
        <v>14166.742133333331</v>
      </c>
      <c r="G35" s="18"/>
      <c r="H35" s="18">
        <f t="shared" si="11"/>
        <v>14166.742133333331</v>
      </c>
      <c r="J35" s="3"/>
      <c r="N35" s="3">
        <v>16400</v>
      </c>
      <c r="O35" s="54">
        <f>+N35/$Q$21</f>
        <v>1.3333333333333334E-2</v>
      </c>
      <c r="Q35" s="3">
        <f t="shared" si="13"/>
        <v>14166.742133333331</v>
      </c>
      <c r="R35" s="3">
        <f t="shared" si="14"/>
        <v>1168.4210666666668</v>
      </c>
      <c r="S35" s="3">
        <f t="shared" si="15"/>
        <v>1064.8367999999998</v>
      </c>
      <c r="T35" s="54">
        <f>+S35+R35+Q35</f>
        <v>16400</v>
      </c>
      <c r="U35" s="54">
        <f>+T35-N35</f>
        <v>0</v>
      </c>
    </row>
    <row r="36" spans="1:23" x14ac:dyDescent="0.25">
      <c r="A36" s="22" t="s">
        <v>83</v>
      </c>
      <c r="B36" s="9"/>
      <c r="C36" s="18">
        <v>983360.79200000002</v>
      </c>
      <c r="D36" s="18">
        <f>530000-D38</f>
        <v>503499.99988321163</v>
      </c>
      <c r="E36" s="18">
        <f t="shared" si="10"/>
        <v>1486860.7918832116</v>
      </c>
      <c r="F36" s="18">
        <v>388168.73445333331</v>
      </c>
      <c r="G36" s="18">
        <v>221371.81</v>
      </c>
      <c r="H36" s="18">
        <f t="shared" si="11"/>
        <v>609540.54445333336</v>
      </c>
      <c r="J36" s="3"/>
      <c r="L36" s="3">
        <f>+C36+C43+C51</f>
        <v>989018.37866666669</v>
      </c>
      <c r="N36" s="3">
        <v>449360</v>
      </c>
      <c r="O36" s="54">
        <f t="shared" ref="O36:O37" si="16">+N36/$Q$21</f>
        <v>0.36533333333333334</v>
      </c>
      <c r="Q36" s="3">
        <f t="shared" si="13"/>
        <v>388168.73445333331</v>
      </c>
      <c r="R36" s="3">
        <f t="shared" si="14"/>
        <v>32014.737226666668</v>
      </c>
      <c r="S36" s="3">
        <f t="shared" si="15"/>
        <v>29176.528319999994</v>
      </c>
      <c r="T36" s="54">
        <f t="shared" ref="T36:T38" si="17">+S36+R36+Q36</f>
        <v>449360</v>
      </c>
      <c r="U36" s="54">
        <f t="shared" ref="U36:U38" si="18">+T36-N36</f>
        <v>0</v>
      </c>
    </row>
    <row r="37" spans="1:23" x14ac:dyDescent="0.25">
      <c r="A37" s="22" t="s">
        <v>84</v>
      </c>
      <c r="B37" s="9"/>
      <c r="C37" s="18">
        <v>1004894.24</v>
      </c>
      <c r="D37" s="18"/>
      <c r="E37" s="18">
        <f t="shared" si="10"/>
        <v>1004894.24</v>
      </c>
      <c r="F37" s="18">
        <v>396668.77973333327</v>
      </c>
      <c r="G37" s="18"/>
      <c r="H37" s="18">
        <f t="shared" si="11"/>
        <v>396668.77973333327</v>
      </c>
      <c r="J37" s="3"/>
      <c r="L37" s="3">
        <f>+C37+C44+C52</f>
        <v>1159912.1146666666</v>
      </c>
      <c r="N37" s="3">
        <v>459200</v>
      </c>
      <c r="O37" s="54">
        <f t="shared" si="16"/>
        <v>0.37333333333333335</v>
      </c>
      <c r="Q37" s="3">
        <f t="shared" si="13"/>
        <v>396668.77973333327</v>
      </c>
      <c r="R37" s="3">
        <f t="shared" si="14"/>
        <v>32715.78986666667</v>
      </c>
      <c r="S37" s="3">
        <f t="shared" si="15"/>
        <v>29815.430399999994</v>
      </c>
      <c r="T37" s="54">
        <f t="shared" si="17"/>
        <v>459199.99999999994</v>
      </c>
      <c r="U37" s="54">
        <f t="shared" si="18"/>
        <v>0</v>
      </c>
    </row>
    <row r="38" spans="1:23" x14ac:dyDescent="0.25">
      <c r="A38" s="22" t="s">
        <v>85</v>
      </c>
      <c r="B38" s="9"/>
      <c r="C38" s="18">
        <f>+Y51</f>
        <v>141667.42133333333</v>
      </c>
      <c r="D38" s="18">
        <f>+Z51</f>
        <v>26500.000116788397</v>
      </c>
      <c r="E38" s="18">
        <f t="shared" si="10"/>
        <v>168167.42145012174</v>
      </c>
      <c r="F38" s="18">
        <v>164000</v>
      </c>
      <c r="G38" s="18"/>
      <c r="H38" s="18">
        <f t="shared" si="11"/>
        <v>164000</v>
      </c>
      <c r="J38" s="55">
        <v>0.05</v>
      </c>
      <c r="L38" s="3">
        <f>+C38+C45+C53</f>
        <v>300079.848</v>
      </c>
      <c r="N38" s="3">
        <f>SUM(N33:N37)</f>
        <v>1230000</v>
      </c>
      <c r="O38" s="54">
        <f>SUM(O33:O37)</f>
        <v>1</v>
      </c>
      <c r="Q38" s="3">
        <f t="shared" si="13"/>
        <v>1062505.6599999999</v>
      </c>
      <c r="R38" s="3">
        <f t="shared" si="14"/>
        <v>87631.58</v>
      </c>
      <c r="S38" s="3">
        <f t="shared" si="15"/>
        <v>79862.75999999998</v>
      </c>
      <c r="T38" s="54">
        <f t="shared" si="17"/>
        <v>1230000</v>
      </c>
      <c r="U38" s="54">
        <f t="shared" si="18"/>
        <v>0</v>
      </c>
    </row>
    <row r="39" spans="1:23" x14ac:dyDescent="0.25">
      <c r="A39" s="23" t="s">
        <v>21</v>
      </c>
      <c r="B39" s="24"/>
      <c r="C39" s="25">
        <f t="shared" ref="C39:H39" si="19">SUM(C32:C38)</f>
        <v>56666968.421333335</v>
      </c>
      <c r="D39" s="25">
        <f t="shared" si="19"/>
        <v>10600000</v>
      </c>
      <c r="E39" s="25">
        <f t="shared" si="19"/>
        <v>67266968.421333328</v>
      </c>
      <c r="F39" s="25">
        <f t="shared" si="19"/>
        <v>55060125.659999996</v>
      </c>
      <c r="G39" s="25">
        <f t="shared" si="19"/>
        <v>4736371.8099999996</v>
      </c>
      <c r="H39" s="25">
        <f t="shared" si="19"/>
        <v>59796497.469999991</v>
      </c>
      <c r="J39" s="3">
        <f>+J33*J38</f>
        <v>164000</v>
      </c>
      <c r="L39" s="3" t="e">
        <f>+#REF!+C46+C54</f>
        <v>#REF!</v>
      </c>
    </row>
    <row r="40" spans="1:23" x14ac:dyDescent="0.25">
      <c r="A40" s="4" t="s">
        <v>75</v>
      </c>
      <c r="B40" s="9"/>
      <c r="C40" s="18">
        <v>4440000</v>
      </c>
      <c r="D40" s="18">
        <v>0</v>
      </c>
      <c r="E40" s="18">
        <f>+D40+C40</f>
        <v>4440000</v>
      </c>
      <c r="F40" s="18">
        <v>4440000</v>
      </c>
      <c r="G40" s="18">
        <v>0</v>
      </c>
      <c r="H40" s="18">
        <f>+G40+F40</f>
        <v>4440000</v>
      </c>
      <c r="L40" s="3" t="e">
        <f>+#REF!+#REF!+#REF!</f>
        <v>#REF!</v>
      </c>
    </row>
    <row r="41" spans="1:23" x14ac:dyDescent="0.25">
      <c r="A41" s="22" t="s">
        <v>80</v>
      </c>
      <c r="B41" s="9"/>
      <c r="C41" s="18">
        <v>41440.000000000007</v>
      </c>
      <c r="D41" s="18"/>
      <c r="E41" s="18">
        <f t="shared" ref="E41" si="20">+D41+C41</f>
        <v>41440.000000000007</v>
      </c>
      <c r="F41" s="18">
        <v>16357.894933333335</v>
      </c>
      <c r="G41" s="18"/>
      <c r="H41" s="18">
        <f t="shared" ref="H41:H46" si="21">+G41+F41</f>
        <v>16357.894933333335</v>
      </c>
    </row>
    <row r="42" spans="1:23" x14ac:dyDescent="0.25">
      <c r="A42" s="22" t="s">
        <v>81</v>
      </c>
      <c r="B42" s="9"/>
      <c r="C42" s="18">
        <v>13616.000000000002</v>
      </c>
      <c r="D42" s="18"/>
      <c r="E42" s="18"/>
      <c r="F42" s="18">
        <v>5374.736906666667</v>
      </c>
      <c r="G42" s="18"/>
      <c r="H42" s="18">
        <f t="shared" si="21"/>
        <v>5374.736906666667</v>
      </c>
    </row>
    <row r="43" spans="1:23" x14ac:dyDescent="0.25">
      <c r="A43" s="22" t="s">
        <v>82</v>
      </c>
      <c r="B43" s="9"/>
      <c r="C43" s="18">
        <v>2960.0000000000005</v>
      </c>
      <c r="D43" s="18"/>
      <c r="E43" s="18"/>
      <c r="F43" s="18">
        <v>1168.4210666666668</v>
      </c>
      <c r="G43" s="18"/>
      <c r="H43" s="18">
        <f t="shared" si="21"/>
        <v>1168.4210666666668</v>
      </c>
      <c r="J43" s="3">
        <v>3280000</v>
      </c>
    </row>
    <row r="44" spans="1:23" x14ac:dyDescent="0.25">
      <c r="A44" s="22" t="s">
        <v>83</v>
      </c>
      <c r="B44" s="9"/>
      <c r="C44" s="18">
        <v>81104.000000000015</v>
      </c>
      <c r="D44" s="18"/>
      <c r="E44" s="18"/>
      <c r="F44" s="18">
        <v>32014.737226666668</v>
      </c>
      <c r="G44" s="18"/>
      <c r="H44" s="18">
        <f t="shared" si="21"/>
        <v>32014.737226666668</v>
      </c>
      <c r="J44" s="3"/>
      <c r="N44" s="3">
        <v>684999.56</v>
      </c>
      <c r="Q44" s="3">
        <f>+N44*W29</f>
        <v>221371.81000000003</v>
      </c>
      <c r="R44" s="3">
        <f>+N44*W32</f>
        <v>0</v>
      </c>
      <c r="S44" s="3">
        <f>+N44*W33</f>
        <v>463627.75</v>
      </c>
      <c r="T44" s="54">
        <f>+S44+R44+Q44</f>
        <v>684999.56</v>
      </c>
      <c r="U44" s="54">
        <f t="shared" ref="U44" si="22">+T44-N44</f>
        <v>0</v>
      </c>
    </row>
    <row r="45" spans="1:23" x14ac:dyDescent="0.25">
      <c r="A45" s="22" t="s">
        <v>84</v>
      </c>
      <c r="B45" s="9"/>
      <c r="C45" s="18">
        <v>82880.000000000015</v>
      </c>
      <c r="D45" s="18"/>
      <c r="E45" s="18">
        <f t="shared" ref="E45:E46" si="23">+D45+C45</f>
        <v>82880.000000000015</v>
      </c>
      <c r="F45" s="18">
        <v>32715.78986666667</v>
      </c>
      <c r="G45" s="18"/>
      <c r="H45" s="18">
        <f t="shared" si="21"/>
        <v>32715.78986666667</v>
      </c>
      <c r="J45" s="3"/>
    </row>
    <row r="46" spans="1:23" x14ac:dyDescent="0.25">
      <c r="A46" s="22" t="s">
        <v>85</v>
      </c>
      <c r="B46" s="9"/>
      <c r="C46" s="18">
        <f>+Y52</f>
        <v>11684.210666666668</v>
      </c>
      <c r="D46" s="18">
        <f>+Z52</f>
        <v>0</v>
      </c>
      <c r="E46" s="18">
        <f t="shared" si="23"/>
        <v>11684.210666666668</v>
      </c>
      <c r="F46" s="18">
        <v>0</v>
      </c>
      <c r="G46" s="18"/>
      <c r="H46" s="18">
        <f t="shared" si="21"/>
        <v>0</v>
      </c>
      <c r="J46" s="3"/>
    </row>
    <row r="47" spans="1:23" x14ac:dyDescent="0.25">
      <c r="A47" s="23" t="s">
        <v>22</v>
      </c>
      <c r="B47" s="24"/>
      <c r="C47" s="25">
        <f t="shared" ref="C47:H47" si="24">SUM(C40:C46)</f>
        <v>4673684.2106666667</v>
      </c>
      <c r="D47" s="25">
        <f t="shared" si="24"/>
        <v>0</v>
      </c>
      <c r="E47" s="25">
        <f t="shared" si="24"/>
        <v>4576004.2106666667</v>
      </c>
      <c r="F47" s="25">
        <f t="shared" si="24"/>
        <v>4527631.58</v>
      </c>
      <c r="G47" s="25">
        <f t="shared" si="24"/>
        <v>0</v>
      </c>
      <c r="H47" s="25">
        <f t="shared" si="24"/>
        <v>4527631.58</v>
      </c>
      <c r="J47" s="3" t="e">
        <f>+J43*#REF!</f>
        <v>#REF!</v>
      </c>
    </row>
    <row r="48" spans="1:23" x14ac:dyDescent="0.25">
      <c r="A48" s="4" t="s">
        <v>16</v>
      </c>
      <c r="B48" s="9"/>
      <c r="C48" s="18">
        <v>4046380</v>
      </c>
      <c r="D48" s="18">
        <v>21090000</v>
      </c>
      <c r="E48" s="18">
        <f t="shared" ref="E48:E54" si="25">+D48+C48</f>
        <v>25136380</v>
      </c>
      <c r="F48" s="18">
        <v>4046380</v>
      </c>
      <c r="G48" s="18">
        <v>8500000</v>
      </c>
      <c r="H48" s="18">
        <f t="shared" ref="H48:H54" si="26">+G48+F48</f>
        <v>12546380</v>
      </c>
    </row>
    <row r="49" spans="1:26" x14ac:dyDescent="0.25">
      <c r="A49" s="22" t="s">
        <v>80</v>
      </c>
      <c r="B49" s="9"/>
      <c r="C49" s="18">
        <v>37766.213333333333</v>
      </c>
      <c r="D49" s="18"/>
      <c r="E49" s="18">
        <f t="shared" si="25"/>
        <v>37766.213333333333</v>
      </c>
      <c r="F49" s="18">
        <v>14907.715199999997</v>
      </c>
      <c r="G49" s="18"/>
      <c r="H49" s="18">
        <f t="shared" si="26"/>
        <v>14907.715199999997</v>
      </c>
    </row>
    <row r="50" spans="1:26" x14ac:dyDescent="0.25">
      <c r="A50" s="22" t="s">
        <v>81</v>
      </c>
      <c r="B50" s="9"/>
      <c r="C50" s="18">
        <v>12408.898666666666</v>
      </c>
      <c r="D50" s="18"/>
      <c r="E50" s="18">
        <f t="shared" si="25"/>
        <v>12408.898666666666</v>
      </c>
      <c r="F50" s="18">
        <v>4898.2492799999991</v>
      </c>
      <c r="G50" s="18"/>
      <c r="H50" s="18">
        <f t="shared" si="26"/>
        <v>4898.2492799999991</v>
      </c>
    </row>
    <row r="51" spans="1:26" x14ac:dyDescent="0.25">
      <c r="A51" s="22" t="s">
        <v>82</v>
      </c>
      <c r="B51" s="9"/>
      <c r="C51" s="18">
        <v>2697.586666666667</v>
      </c>
      <c r="D51" s="18"/>
      <c r="E51" s="18">
        <f t="shared" si="25"/>
        <v>2697.586666666667</v>
      </c>
      <c r="F51" s="18">
        <v>1064.8367999999998</v>
      </c>
      <c r="G51" s="18"/>
      <c r="H51" s="18">
        <f t="shared" si="26"/>
        <v>1064.8367999999998</v>
      </c>
      <c r="J51" s="3">
        <v>3280000</v>
      </c>
      <c r="Q51" s="3">
        <f>+C32</f>
        <v>53833620</v>
      </c>
      <c r="R51" s="59">
        <f>+Q51/$Q$56</f>
        <v>0.82063445121951217</v>
      </c>
      <c r="T51" s="3">
        <f>+Q55*R51</f>
        <v>2691681</v>
      </c>
      <c r="V51" s="58">
        <f>+$T$51*O33</f>
        <v>502447.12</v>
      </c>
      <c r="W51" s="58">
        <f>+$T$52*O33</f>
        <v>41440.000000000007</v>
      </c>
      <c r="X51" s="58">
        <f>+$T$53*O33</f>
        <v>37766.213333333333</v>
      </c>
      <c r="Y51" s="58">
        <f>+T55*W23</f>
        <v>141667.42133333333</v>
      </c>
      <c r="Z51" s="61">
        <f>+D62*W29</f>
        <v>26500.000116788397</v>
      </c>
    </row>
    <row r="52" spans="1:26" x14ac:dyDescent="0.25">
      <c r="A52" s="22" t="s">
        <v>83</v>
      </c>
      <c r="B52" s="9"/>
      <c r="C52" s="18">
        <v>73913.87466666667</v>
      </c>
      <c r="D52" s="18">
        <f>1110000-D54</f>
        <v>1054500.0001167883</v>
      </c>
      <c r="E52" s="18">
        <f t="shared" si="25"/>
        <v>1128413.8747834549</v>
      </c>
      <c r="F52" s="18">
        <v>29176.528319999994</v>
      </c>
      <c r="G52" s="18">
        <v>463627.75</v>
      </c>
      <c r="H52" s="18">
        <f t="shared" si="26"/>
        <v>492804.27831999998</v>
      </c>
      <c r="J52" s="3"/>
      <c r="Q52" s="3">
        <f>+C40</f>
        <v>4440000</v>
      </c>
      <c r="R52" s="59">
        <f t="shared" ref="R52:R53" si="27">+Q52/$Q$56</f>
        <v>6.7682926829268297E-2</v>
      </c>
      <c r="T52" s="3">
        <f>+Q55*R52</f>
        <v>222000.00000000003</v>
      </c>
      <c r="V52" s="58">
        <f t="shared" ref="V52:V54" si="28">+$T$51*O34</f>
        <v>165089.76799999998</v>
      </c>
      <c r="W52" s="58">
        <f t="shared" ref="W52:W56" si="29">+$T$52*O34</f>
        <v>13616.000000000002</v>
      </c>
      <c r="X52" s="58">
        <f t="shared" ref="X52:X56" si="30">+$T$53*O34</f>
        <v>12408.898666666666</v>
      </c>
      <c r="Y52" s="54">
        <f>+W24*T55</f>
        <v>11684.210666666668</v>
      </c>
      <c r="Z52" s="61">
        <f>+W32*D62</f>
        <v>0</v>
      </c>
    </row>
    <row r="53" spans="1:26" x14ac:dyDescent="0.25">
      <c r="A53" s="22" t="s">
        <v>84</v>
      </c>
      <c r="B53" s="9"/>
      <c r="C53" s="18">
        <v>75532.426666666666</v>
      </c>
      <c r="D53" s="18"/>
      <c r="E53" s="18">
        <f t="shared" si="25"/>
        <v>75532.426666666666</v>
      </c>
      <c r="F53" s="18">
        <v>29815.430399999994</v>
      </c>
      <c r="G53" s="18"/>
      <c r="H53" s="18">
        <f t="shared" si="26"/>
        <v>29815.430399999994</v>
      </c>
      <c r="J53" s="3"/>
      <c r="Q53" s="3">
        <f>+C48</f>
        <v>4046380</v>
      </c>
      <c r="R53" s="59">
        <f t="shared" si="27"/>
        <v>6.1682621951219513E-2</v>
      </c>
      <c r="T53" s="3">
        <f>+Q55*R53</f>
        <v>202319</v>
      </c>
      <c r="V53" s="58">
        <f t="shared" si="28"/>
        <v>35889.08</v>
      </c>
      <c r="W53" s="58">
        <f t="shared" si="29"/>
        <v>2960.0000000000005</v>
      </c>
      <c r="X53" s="58">
        <f t="shared" si="30"/>
        <v>2697.586666666667</v>
      </c>
      <c r="Y53" s="54">
        <f>+W25*T55</f>
        <v>10648.367999999999</v>
      </c>
      <c r="Z53" s="61">
        <f>+W33*D62</f>
        <v>55499.999883211596</v>
      </c>
    </row>
    <row r="54" spans="1:26" x14ac:dyDescent="0.25">
      <c r="A54" s="22" t="s">
        <v>85</v>
      </c>
      <c r="B54" s="9"/>
      <c r="C54" s="18">
        <f>+Y53</f>
        <v>10648.367999999999</v>
      </c>
      <c r="D54" s="18">
        <f>+Z53</f>
        <v>55499.999883211596</v>
      </c>
      <c r="E54" s="18">
        <f t="shared" si="25"/>
        <v>66148.367883211598</v>
      </c>
      <c r="F54" s="18">
        <v>0</v>
      </c>
      <c r="G54" s="18"/>
      <c r="H54" s="18">
        <f t="shared" si="26"/>
        <v>0</v>
      </c>
      <c r="J54" s="3"/>
      <c r="Q54" s="3">
        <f>SUM(Q51:Q53)</f>
        <v>62320000</v>
      </c>
      <c r="R54" s="59"/>
      <c r="T54" s="54">
        <f>SUM(T51:T53)</f>
        <v>3116000</v>
      </c>
      <c r="V54" s="58">
        <f t="shared" si="28"/>
        <v>983360.79200000002</v>
      </c>
      <c r="W54" s="58">
        <f t="shared" si="29"/>
        <v>81104.000000000015</v>
      </c>
      <c r="X54" s="58">
        <f t="shared" si="30"/>
        <v>73913.87466666667</v>
      </c>
    </row>
    <row r="55" spans="1:26" x14ac:dyDescent="0.25">
      <c r="A55" s="23" t="s">
        <v>23</v>
      </c>
      <c r="B55" s="24"/>
      <c r="C55" s="25">
        <f t="shared" ref="C55:H55" si="31">SUM(C48:C54)</f>
        <v>4259347.3679999998</v>
      </c>
      <c r="D55" s="25">
        <f t="shared" si="31"/>
        <v>22200000</v>
      </c>
      <c r="E55" s="25">
        <f t="shared" si="31"/>
        <v>26459347.368000001</v>
      </c>
      <c r="F55" s="25">
        <f t="shared" si="31"/>
        <v>4126242.7600000002</v>
      </c>
      <c r="G55" s="25">
        <f t="shared" si="31"/>
        <v>8963627.75</v>
      </c>
      <c r="H55" s="25">
        <f t="shared" si="31"/>
        <v>13089870.51</v>
      </c>
      <c r="J55" s="3" t="e">
        <f>+J51*#REF!</f>
        <v>#REF!</v>
      </c>
      <c r="Q55" s="3">
        <v>3280000</v>
      </c>
      <c r="R55" s="59">
        <f>+Q55/Q56</f>
        <v>0.05</v>
      </c>
      <c r="T55" s="54">
        <v>164000</v>
      </c>
      <c r="U55" t="s">
        <v>86</v>
      </c>
      <c r="V55" s="58">
        <f>+$T$51*O37</f>
        <v>1004894.24</v>
      </c>
      <c r="W55" s="58">
        <f t="shared" si="29"/>
        <v>82880.000000000015</v>
      </c>
      <c r="X55" s="58">
        <f t="shared" si="30"/>
        <v>75532.426666666666</v>
      </c>
    </row>
    <row r="56" spans="1:26" ht="24" x14ac:dyDescent="0.25">
      <c r="A56" s="29" t="s">
        <v>17</v>
      </c>
      <c r="B56" s="9"/>
      <c r="C56" s="30">
        <f t="shared" ref="C56:H56" si="32">+C55+C47+C39</f>
        <v>65600000</v>
      </c>
      <c r="D56" s="30">
        <f t="shared" si="32"/>
        <v>32800000</v>
      </c>
      <c r="E56" s="30">
        <f t="shared" si="32"/>
        <v>98302320</v>
      </c>
      <c r="F56" s="30">
        <f t="shared" si="32"/>
        <v>63714000</v>
      </c>
      <c r="G56" s="30">
        <f t="shared" si="32"/>
        <v>13699999.559999999</v>
      </c>
      <c r="H56" s="30">
        <f t="shared" si="32"/>
        <v>77413999.559999987</v>
      </c>
      <c r="Q56" s="3">
        <f>+Q55+Q54</f>
        <v>65600000</v>
      </c>
      <c r="V56" s="58">
        <f>+$T$51*O38</f>
        <v>2691681</v>
      </c>
      <c r="W56" s="58">
        <f t="shared" si="29"/>
        <v>222000.00000000003</v>
      </c>
      <c r="X56" s="58">
        <f t="shared" si="30"/>
        <v>202319</v>
      </c>
      <c r="Y56" s="58">
        <f>SUM(Y51:Y55)</f>
        <v>164000</v>
      </c>
      <c r="Z56" s="58">
        <f>SUM(Z51:Z55)</f>
        <v>82000</v>
      </c>
    </row>
    <row r="57" spans="1:26" x14ac:dyDescent="0.25">
      <c r="C57" s="54"/>
    </row>
    <row r="60" spans="1:26" x14ac:dyDescent="0.25">
      <c r="D60" s="54"/>
    </row>
    <row r="62" spans="1:26" x14ac:dyDescent="0.25">
      <c r="C62" s="63">
        <f>164000/C56</f>
        <v>2.5000000000000001E-3</v>
      </c>
      <c r="D62">
        <v>82000</v>
      </c>
    </row>
  </sheetData>
  <mergeCells count="6">
    <mergeCell ref="C30:E30"/>
    <mergeCell ref="F30:H30"/>
    <mergeCell ref="A1:H1"/>
    <mergeCell ref="A28:H28"/>
    <mergeCell ref="C3:E3"/>
    <mergeCell ref="F3:H3"/>
  </mergeCells>
  <printOptions horizontalCentered="1"/>
  <pageMargins left="0.70866141732283472" right="0.11" top="0.39370078740157483" bottom="0.3937007874015748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32"/>
  <sheetViews>
    <sheetView zoomScale="84" zoomScaleNormal="84" zoomScaleSheetLayoutView="106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BX21" sqref="BX21"/>
    </sheetView>
  </sheetViews>
  <sheetFormatPr baseColWidth="10" defaultColWidth="11.42578125" defaultRowHeight="15" x14ac:dyDescent="0.25"/>
  <cols>
    <col min="1" max="1" width="43.140625" style="7" bestFit="1" customWidth="1"/>
    <col min="2" max="2" width="1.140625" style="7" hidden="1" customWidth="1"/>
    <col min="3" max="3" width="24.42578125" style="21" bestFit="1" customWidth="1"/>
    <col min="4" max="4" width="17.7109375" style="21" customWidth="1"/>
    <col min="5" max="5" width="18.28515625" style="21" bestFit="1" customWidth="1"/>
    <col min="6" max="8" width="18.28515625" style="21" hidden="1" customWidth="1"/>
    <col min="9" max="10" width="32.5703125" style="21" hidden="1" customWidth="1"/>
    <col min="11" max="11" width="15.140625" style="21" bestFit="1" customWidth="1"/>
    <col min="12" max="12" width="14.42578125" style="21" bestFit="1" customWidth="1"/>
    <col min="13" max="13" width="14.5703125" style="21" bestFit="1" customWidth="1"/>
    <col min="14" max="19" width="14.5703125" style="21" customWidth="1"/>
    <col min="20" max="20" width="12.5703125" style="21" customWidth="1"/>
    <col min="21" max="21" width="9.28515625" style="21" customWidth="1"/>
    <col min="22" max="22" width="13.28515625" style="21" customWidth="1"/>
    <col min="23" max="23" width="13.42578125" style="21" customWidth="1"/>
    <col min="24" max="24" width="12.28515625" style="21" customWidth="1"/>
    <col min="25" max="25" width="13.140625" style="21" customWidth="1"/>
    <col min="26" max="26" width="15.140625" style="21" bestFit="1" customWidth="1"/>
    <col min="27" max="27" width="14.42578125" style="21" bestFit="1" customWidth="1"/>
    <col min="28" max="28" width="14.5703125" style="21" bestFit="1" customWidth="1"/>
    <col min="29" max="34" width="14.5703125" style="21" customWidth="1"/>
    <col min="35" max="35" width="12.5703125" style="21" customWidth="1"/>
    <col min="36" max="36" width="9.28515625" style="21" customWidth="1"/>
    <col min="37" max="37" width="11.28515625" style="21" customWidth="1"/>
    <col min="38" max="38" width="14.42578125" style="21" bestFit="1" customWidth="1"/>
    <col min="39" max="39" width="13.5703125" style="21" bestFit="1" customWidth="1"/>
    <col min="40" max="40" width="17.7109375" style="21" bestFit="1" customWidth="1"/>
    <col min="41" max="41" width="5" style="7" hidden="1" customWidth="1"/>
    <col min="42" max="42" width="1.5703125" style="7" hidden="1" customWidth="1"/>
    <col min="43" max="43" width="0" style="7" hidden="1" customWidth="1"/>
    <col min="44" max="45" width="15" style="8" hidden="1" customWidth="1"/>
    <col min="46" max="46" width="2" style="50" hidden="1" customWidth="1"/>
    <col min="47" max="47" width="2" style="50" customWidth="1"/>
    <col min="48" max="48" width="16.85546875" style="79" bestFit="1" customWidth="1"/>
    <col min="49" max="49" width="15.140625" style="79" bestFit="1" customWidth="1"/>
    <col min="50" max="50" width="17.7109375" style="79" bestFit="1" customWidth="1"/>
    <col min="51" max="51" width="2" style="50" hidden="1" customWidth="1"/>
    <col min="52" max="52" width="2" style="50" customWidth="1"/>
    <col min="53" max="53" width="10.7109375" style="21" hidden="1" customWidth="1"/>
    <col min="54" max="54" width="9.7109375" style="21" hidden="1" customWidth="1"/>
    <col min="55" max="55" width="10.7109375" style="21" hidden="1" customWidth="1"/>
    <col min="56" max="56" width="2.28515625" style="21" hidden="1" customWidth="1"/>
    <col min="57" max="57" width="14.42578125" style="21" hidden="1" customWidth="1"/>
    <col min="58" max="58" width="13.5703125" style="21" hidden="1" customWidth="1"/>
    <col min="59" max="59" width="17.7109375" style="21" hidden="1" customWidth="1"/>
    <col min="60" max="60" width="13.140625" style="21" hidden="1" customWidth="1"/>
    <col min="61" max="61" width="9" style="7" hidden="1" customWidth="1"/>
    <col min="62" max="62" width="9.140625" style="7" bestFit="1" customWidth="1"/>
    <col min="63" max="63" width="21.7109375" style="7" hidden="1" customWidth="1"/>
    <col min="64" max="66" width="13.28515625" style="7" hidden="1" customWidth="1"/>
    <col min="67" max="68" width="11.5703125" style="7" hidden="1" customWidth="1"/>
    <col min="69" max="69" width="13.28515625" style="7" hidden="1" customWidth="1"/>
    <col min="70" max="70" width="17.42578125" style="7" hidden="1" customWidth="1"/>
    <col min="71" max="72" width="0" style="1" hidden="1" customWidth="1"/>
    <col min="73" max="73" width="13.5703125" style="1" hidden="1" customWidth="1"/>
    <col min="74" max="74" width="11.85546875" style="1" hidden="1" customWidth="1"/>
    <col min="75" max="75" width="11.5703125" style="1" hidden="1" customWidth="1"/>
    <col min="76" max="76" width="11.42578125" style="1"/>
    <col min="77" max="80" width="0" style="1" hidden="1" customWidth="1"/>
    <col min="81" max="16384" width="11.42578125" style="1"/>
  </cols>
  <sheetData>
    <row r="1" spans="1:79" ht="63" customHeight="1" x14ac:dyDescent="0.25">
      <c r="A1" s="169" t="s">
        <v>168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6"/>
      <c r="AT1" s="7"/>
      <c r="AU1" s="7"/>
      <c r="AV1" s="74"/>
      <c r="AW1" s="74"/>
      <c r="AX1" s="74"/>
      <c r="AY1" s="7"/>
      <c r="AZ1" s="7"/>
      <c r="BA1" s="6"/>
      <c r="BB1" s="6"/>
      <c r="BC1" s="6"/>
      <c r="BE1" s="6"/>
      <c r="BF1" s="6"/>
      <c r="BG1" s="6"/>
    </row>
    <row r="2" spans="1:79" ht="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F2" s="67"/>
      <c r="AG2" s="67"/>
      <c r="AH2" s="67"/>
      <c r="AI2" s="67"/>
      <c r="AJ2" s="67"/>
      <c r="AK2" s="67"/>
      <c r="AL2" s="67"/>
      <c r="AM2" s="67"/>
      <c r="AN2" s="107">
        <f>'Avance Convenido'!L4</f>
        <v>43010</v>
      </c>
      <c r="AO2" s="6"/>
      <c r="AT2" s="7"/>
      <c r="AU2" s="7"/>
      <c r="AV2" s="83"/>
      <c r="AW2" s="83"/>
      <c r="AX2" s="74"/>
      <c r="AY2" s="7"/>
      <c r="AZ2" s="7"/>
      <c r="BA2" s="67"/>
      <c r="BB2" s="67"/>
      <c r="BC2" s="67"/>
      <c r="BD2" s="6"/>
      <c r="BE2" s="67"/>
      <c r="BF2" s="67"/>
      <c r="BG2" s="67"/>
      <c r="BH2" s="6"/>
    </row>
    <row r="3" spans="1:79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7"/>
      <c r="L3" s="67"/>
      <c r="M3" s="67"/>
      <c r="N3" s="85"/>
      <c r="O3" s="85"/>
      <c r="P3" s="8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85"/>
      <c r="AD3" s="85"/>
      <c r="AE3" s="85"/>
      <c r="AF3" s="67"/>
      <c r="AG3" s="67"/>
      <c r="AH3" s="67"/>
      <c r="AI3" s="67"/>
      <c r="AJ3" s="67"/>
      <c r="AK3" s="67"/>
      <c r="AL3" s="67"/>
      <c r="AM3" s="67"/>
      <c r="AN3" s="67"/>
      <c r="AO3" s="6"/>
      <c r="AT3" s="7"/>
      <c r="AU3" s="7"/>
      <c r="AV3" s="74"/>
      <c r="AW3" s="74"/>
      <c r="AX3" s="74"/>
      <c r="AY3" s="7"/>
      <c r="AZ3" s="7"/>
      <c r="BA3" s="67"/>
      <c r="BB3" s="67"/>
      <c r="BC3" s="67"/>
      <c r="BD3" s="6"/>
      <c r="BE3" s="67"/>
      <c r="BF3" s="67"/>
      <c r="BG3" s="67"/>
      <c r="BH3" s="6"/>
    </row>
    <row r="4" spans="1:79" ht="18.75" customHeight="1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80" t="s">
        <v>114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15"/>
      <c r="X4" s="115"/>
      <c r="Y4" s="115"/>
      <c r="Z4" s="190" t="s">
        <v>3</v>
      </c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9"/>
      <c r="AT4" s="12"/>
      <c r="AU4" s="12"/>
      <c r="AV4" s="75"/>
      <c r="AW4" s="181"/>
      <c r="AX4" s="181"/>
      <c r="AY4" s="12"/>
      <c r="AZ4" s="12"/>
      <c r="BA4" s="10"/>
      <c r="BB4" s="167"/>
      <c r="BC4" s="167"/>
      <c r="BD4" s="68"/>
      <c r="BE4" s="10"/>
      <c r="BF4" s="167"/>
      <c r="BG4" s="167"/>
      <c r="BH4" s="68"/>
    </row>
    <row r="5" spans="1:79" ht="15" customHeight="1" x14ac:dyDescent="0.25">
      <c r="A5" s="13" t="s">
        <v>0</v>
      </c>
      <c r="B5" s="9"/>
      <c r="C5" s="165" t="s">
        <v>182</v>
      </c>
      <c r="D5" s="165"/>
      <c r="E5" s="165"/>
      <c r="F5" s="165" t="s">
        <v>100</v>
      </c>
      <c r="G5" s="165"/>
      <c r="H5" s="165"/>
      <c r="I5" s="10"/>
      <c r="J5" s="10"/>
      <c r="K5" s="165" t="s">
        <v>112</v>
      </c>
      <c r="L5" s="165"/>
      <c r="M5" s="165"/>
      <c r="N5" s="165" t="s">
        <v>113</v>
      </c>
      <c r="O5" s="165"/>
      <c r="P5" s="165"/>
      <c r="Q5" s="165" t="s">
        <v>115</v>
      </c>
      <c r="R5" s="165"/>
      <c r="S5" s="165"/>
      <c r="T5" s="165" t="s">
        <v>118</v>
      </c>
      <c r="U5" s="165"/>
      <c r="V5" s="165"/>
      <c r="W5" s="165" t="s">
        <v>183</v>
      </c>
      <c r="X5" s="165"/>
      <c r="Y5" s="165"/>
      <c r="Z5" s="173" t="s">
        <v>112</v>
      </c>
      <c r="AA5" s="174"/>
      <c r="AB5" s="175"/>
      <c r="AC5" s="165" t="s">
        <v>113</v>
      </c>
      <c r="AD5" s="165"/>
      <c r="AE5" s="165"/>
      <c r="AF5" s="165" t="s">
        <v>115</v>
      </c>
      <c r="AG5" s="165"/>
      <c r="AH5" s="165"/>
      <c r="AI5" s="165" t="s">
        <v>118</v>
      </c>
      <c r="AJ5" s="165"/>
      <c r="AK5" s="165"/>
      <c r="AL5" s="165" t="s">
        <v>169</v>
      </c>
      <c r="AM5" s="165"/>
      <c r="AN5" s="165"/>
      <c r="AO5" s="9"/>
      <c r="AT5" s="12"/>
      <c r="AU5" s="12"/>
      <c r="AV5" s="182" t="s">
        <v>109</v>
      </c>
      <c r="AW5" s="182"/>
      <c r="AX5" s="182"/>
      <c r="AY5" s="12"/>
      <c r="AZ5" s="12"/>
      <c r="BA5" s="165" t="s">
        <v>117</v>
      </c>
      <c r="BB5" s="165"/>
      <c r="BC5" s="165"/>
      <c r="BD5" s="69"/>
      <c r="BE5" s="165" t="s">
        <v>105</v>
      </c>
      <c r="BF5" s="165"/>
      <c r="BG5" s="165"/>
      <c r="BH5" s="69"/>
    </row>
    <row r="6" spans="1:79" x14ac:dyDescent="0.25">
      <c r="A6" s="13"/>
      <c r="B6" s="9"/>
      <c r="C6" s="15" t="s">
        <v>4</v>
      </c>
      <c r="D6" s="15" t="s">
        <v>5</v>
      </c>
      <c r="E6" s="15" t="s">
        <v>6</v>
      </c>
      <c r="F6" s="15" t="s">
        <v>4</v>
      </c>
      <c r="G6" s="15" t="s">
        <v>5</v>
      </c>
      <c r="H6" s="15" t="s">
        <v>6</v>
      </c>
      <c r="I6" s="10"/>
      <c r="J6" s="10"/>
      <c r="K6" s="15" t="s">
        <v>4</v>
      </c>
      <c r="L6" s="15" t="s">
        <v>5</v>
      </c>
      <c r="M6" s="15" t="s">
        <v>6</v>
      </c>
      <c r="N6" s="15" t="s">
        <v>4</v>
      </c>
      <c r="O6" s="15" t="s">
        <v>5</v>
      </c>
      <c r="P6" s="15" t="s">
        <v>6</v>
      </c>
      <c r="Q6" s="15" t="s">
        <v>4</v>
      </c>
      <c r="R6" s="15" t="s">
        <v>5</v>
      </c>
      <c r="S6" s="15" t="s">
        <v>6</v>
      </c>
      <c r="T6" s="15" t="s">
        <v>4</v>
      </c>
      <c r="U6" s="15" t="s">
        <v>5</v>
      </c>
      <c r="V6" s="15" t="s">
        <v>6</v>
      </c>
      <c r="W6" s="15" t="s">
        <v>4</v>
      </c>
      <c r="X6" s="15" t="s">
        <v>5</v>
      </c>
      <c r="Y6" s="15" t="s">
        <v>6</v>
      </c>
      <c r="Z6" s="15" t="s">
        <v>4</v>
      </c>
      <c r="AA6" s="15" t="s">
        <v>5</v>
      </c>
      <c r="AB6" s="15" t="s">
        <v>6</v>
      </c>
      <c r="AC6" s="15" t="s">
        <v>4</v>
      </c>
      <c r="AD6" s="15" t="s">
        <v>5</v>
      </c>
      <c r="AE6" s="15" t="s">
        <v>6</v>
      </c>
      <c r="AF6" s="15" t="s">
        <v>4</v>
      </c>
      <c r="AG6" s="15" t="s">
        <v>5</v>
      </c>
      <c r="AH6" s="15" t="s">
        <v>6</v>
      </c>
      <c r="AI6" s="15" t="s">
        <v>4</v>
      </c>
      <c r="AJ6" s="15" t="s">
        <v>5</v>
      </c>
      <c r="AK6" s="15" t="s">
        <v>6</v>
      </c>
      <c r="AL6" s="15" t="s">
        <v>4</v>
      </c>
      <c r="AM6" s="15" t="s">
        <v>5</v>
      </c>
      <c r="AN6" s="15" t="s">
        <v>6</v>
      </c>
      <c r="AO6" s="9"/>
      <c r="AT6" s="12"/>
      <c r="AU6" s="12"/>
      <c r="AV6" s="76" t="s">
        <v>4</v>
      </c>
      <c r="AW6" s="76" t="s">
        <v>5</v>
      </c>
      <c r="AX6" s="76" t="s">
        <v>6</v>
      </c>
      <c r="AY6" s="12"/>
      <c r="AZ6" s="12"/>
      <c r="BA6" s="15" t="s">
        <v>4</v>
      </c>
      <c r="BB6" s="15" t="s">
        <v>5</v>
      </c>
      <c r="BC6" s="15" t="s">
        <v>6</v>
      </c>
      <c r="BD6" s="70"/>
      <c r="BE6" s="15" t="s">
        <v>4</v>
      </c>
      <c r="BF6" s="15" t="s">
        <v>5</v>
      </c>
      <c r="BG6" s="15" t="s">
        <v>6</v>
      </c>
      <c r="BH6" s="70"/>
      <c r="BL6" s="166" t="s">
        <v>96</v>
      </c>
      <c r="BM6" s="166"/>
      <c r="BN6" s="166"/>
      <c r="BO6" s="166"/>
      <c r="BP6" s="166"/>
      <c r="BQ6" s="166"/>
    </row>
    <row r="7" spans="1:79" ht="24" x14ac:dyDescent="0.25">
      <c r="A7" s="88" t="s">
        <v>163</v>
      </c>
      <c r="B7" s="101"/>
      <c r="C7" s="89">
        <f>SUM(C8:C10)</f>
        <v>515738.18000000005</v>
      </c>
      <c r="D7" s="89">
        <f t="shared" ref="D7:AN7" si="0">SUM(D8:D10)</f>
        <v>138430.31000000003</v>
      </c>
      <c r="E7" s="89">
        <f t="shared" si="0"/>
        <v>654168.49</v>
      </c>
      <c r="F7" s="89">
        <f t="shared" si="0"/>
        <v>112268517</v>
      </c>
      <c r="G7" s="89">
        <f t="shared" si="0"/>
        <v>28067130</v>
      </c>
      <c r="H7" s="89">
        <f t="shared" si="0"/>
        <v>140335647</v>
      </c>
      <c r="I7" s="89" t="e">
        <f t="shared" si="0"/>
        <v>#REF!</v>
      </c>
      <c r="J7" s="89" t="e">
        <f t="shared" si="0"/>
        <v>#REF!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150177.57</v>
      </c>
      <c r="O7" s="89">
        <f t="shared" si="0"/>
        <v>17255.71</v>
      </c>
      <c r="P7" s="89">
        <f t="shared" si="0"/>
        <v>167433.28</v>
      </c>
      <c r="Q7" s="89">
        <f t="shared" si="0"/>
        <v>0</v>
      </c>
      <c r="R7" s="89">
        <f t="shared" si="0"/>
        <v>54000</v>
      </c>
      <c r="S7" s="89">
        <f t="shared" si="0"/>
        <v>54000</v>
      </c>
      <c r="T7" s="89">
        <f t="shared" si="0"/>
        <v>0</v>
      </c>
      <c r="U7" s="89">
        <f t="shared" si="0"/>
        <v>0</v>
      </c>
      <c r="V7" s="89">
        <f t="shared" si="0"/>
        <v>0</v>
      </c>
      <c r="W7" s="89">
        <f t="shared" ref="W7:Y7" si="1">SUM(W8:W10)</f>
        <v>150177.57</v>
      </c>
      <c r="X7" s="89">
        <f t="shared" si="1"/>
        <v>71255.709999999992</v>
      </c>
      <c r="Y7" s="89">
        <f t="shared" si="1"/>
        <v>221433.28</v>
      </c>
      <c r="Z7" s="89">
        <f t="shared" ref="Z7:AK7" si="2">SUM(Z8:Z10)</f>
        <v>0</v>
      </c>
      <c r="AA7" s="89">
        <f t="shared" si="2"/>
        <v>0</v>
      </c>
      <c r="AB7" s="89">
        <f t="shared" si="2"/>
        <v>0</v>
      </c>
      <c r="AC7" s="89">
        <f t="shared" si="2"/>
        <v>150177.57</v>
      </c>
      <c r="AD7" s="89">
        <f t="shared" si="2"/>
        <v>17255.71</v>
      </c>
      <c r="AE7" s="89">
        <f t="shared" si="2"/>
        <v>167433.28</v>
      </c>
      <c r="AF7" s="89">
        <f t="shared" si="2"/>
        <v>0</v>
      </c>
      <c r="AG7" s="89">
        <f t="shared" si="2"/>
        <v>54000</v>
      </c>
      <c r="AH7" s="89">
        <f t="shared" si="2"/>
        <v>54000</v>
      </c>
      <c r="AI7" s="89">
        <f t="shared" si="2"/>
        <v>0</v>
      </c>
      <c r="AJ7" s="89">
        <f t="shared" si="2"/>
        <v>0</v>
      </c>
      <c r="AK7" s="89">
        <f t="shared" si="2"/>
        <v>0</v>
      </c>
      <c r="AL7" s="89">
        <f t="shared" si="0"/>
        <v>150177.57</v>
      </c>
      <c r="AM7" s="89">
        <f t="shared" si="0"/>
        <v>71255.709999999992</v>
      </c>
      <c r="AN7" s="89">
        <f t="shared" si="0"/>
        <v>221433.28</v>
      </c>
      <c r="AO7" s="9"/>
      <c r="AQ7" s="1"/>
      <c r="AR7" s="1"/>
      <c r="AS7" s="1"/>
      <c r="AT7" s="12"/>
      <c r="AU7" s="12"/>
      <c r="AV7" s="90">
        <f t="shared" ref="AV7:AX10" si="3">+AL7/C7</f>
        <v>0.29118955280758929</v>
      </c>
      <c r="AW7" s="90">
        <f t="shared" si="3"/>
        <v>0.51474066626015635</v>
      </c>
      <c r="AX7" s="90">
        <f t="shared" si="3"/>
        <v>0.33849579028179727</v>
      </c>
      <c r="AY7" s="12"/>
      <c r="AZ7" s="12"/>
      <c r="BA7" s="89"/>
      <c r="BB7" s="89"/>
      <c r="BC7" s="89"/>
      <c r="BD7" s="71"/>
      <c r="BE7" s="89"/>
      <c r="BF7" s="89"/>
      <c r="BG7" s="89"/>
      <c r="BH7" s="3"/>
      <c r="BY7" s="1">
        <f>+W7-AL7</f>
        <v>0</v>
      </c>
      <c r="BZ7" s="1">
        <f t="shared" ref="BZ7" si="4">+X7-AM7</f>
        <v>0</v>
      </c>
      <c r="CA7" s="1">
        <f t="shared" ref="CA7" si="5">+Y7-AN7</f>
        <v>0</v>
      </c>
    </row>
    <row r="8" spans="1:79" ht="15" customHeight="1" x14ac:dyDescent="0.25">
      <c r="A8" s="92" t="s">
        <v>150</v>
      </c>
      <c r="B8" s="100"/>
      <c r="C8" s="18">
        <v>305993.52</v>
      </c>
      <c r="D8" s="18">
        <v>82186.740000000005</v>
      </c>
      <c r="E8" s="18">
        <f t="shared" ref="E8:E10" si="6">+D8+C8</f>
        <v>388180.26</v>
      </c>
      <c r="F8" s="18">
        <v>37422839</v>
      </c>
      <c r="G8" s="18">
        <v>9355710</v>
      </c>
      <c r="H8" s="18">
        <f t="shared" ref="H8:H10" si="7">+G8+F8</f>
        <v>46778549</v>
      </c>
      <c r="I8" s="102" t="e">
        <f>+C8-#REF!</f>
        <v>#REF!</v>
      </c>
      <c r="J8" s="102" t="e">
        <f>+D8-#REF!</f>
        <v>#REF!</v>
      </c>
      <c r="K8" s="18"/>
      <c r="L8" s="18"/>
      <c r="M8" s="18">
        <f t="shared" ref="M8:M10" si="8">+L8+K8</f>
        <v>0</v>
      </c>
      <c r="N8" s="18">
        <f>81154.73+69022.84</f>
        <v>150177.57</v>
      </c>
      <c r="O8" s="18">
        <v>17255.71</v>
      </c>
      <c r="P8" s="18">
        <f>+O8+N8</f>
        <v>167433.28</v>
      </c>
      <c r="Q8" s="18"/>
      <c r="R8" s="18">
        <v>34000</v>
      </c>
      <c r="S8" s="18">
        <f>+R8+Q8</f>
        <v>34000</v>
      </c>
      <c r="T8" s="18"/>
      <c r="U8" s="18"/>
      <c r="V8" s="18"/>
      <c r="W8" s="18">
        <f>+T8+Q8+N8+K8</f>
        <v>150177.57</v>
      </c>
      <c r="X8" s="18">
        <f t="shared" ref="X8:Y8" si="9">+U8+R8+O8+L8</f>
        <v>51255.71</v>
      </c>
      <c r="Y8" s="18">
        <f t="shared" si="9"/>
        <v>201433.28</v>
      </c>
      <c r="Z8" s="18"/>
      <c r="AA8" s="18"/>
      <c r="AB8" s="18">
        <f t="shared" ref="AB8:AB10" si="10">+AA8+Z8</f>
        <v>0</v>
      </c>
      <c r="AC8" s="18">
        <f>81154.73+69022.84</f>
        <v>150177.57</v>
      </c>
      <c r="AD8" s="18">
        <v>17255.71</v>
      </c>
      <c r="AE8" s="18">
        <f>+AD8+AC8</f>
        <v>167433.28</v>
      </c>
      <c r="AF8" s="18"/>
      <c r="AG8" s="18">
        <v>34000</v>
      </c>
      <c r="AH8" s="18">
        <f>+AG8+AF8</f>
        <v>34000</v>
      </c>
      <c r="AI8" s="18"/>
      <c r="AJ8" s="18"/>
      <c r="AK8" s="18"/>
      <c r="AL8" s="18">
        <f t="shared" ref="AL8:AN10" si="11">+AI8+AF8+AC8+Z8</f>
        <v>150177.57</v>
      </c>
      <c r="AM8" s="18">
        <f t="shared" si="11"/>
        <v>51255.71</v>
      </c>
      <c r="AN8" s="18">
        <f t="shared" si="11"/>
        <v>201433.28</v>
      </c>
      <c r="AO8" s="9"/>
      <c r="AQ8" s="1"/>
      <c r="AR8" s="1"/>
      <c r="AS8" s="1"/>
      <c r="AT8" s="12"/>
      <c r="AU8" s="12"/>
      <c r="AV8" s="20">
        <f t="shared" si="3"/>
        <v>0.49078676568052815</v>
      </c>
      <c r="AW8" s="20">
        <f t="shared" si="3"/>
        <v>0.62364938675022263</v>
      </c>
      <c r="AX8" s="20">
        <f t="shared" si="3"/>
        <v>0.51891685579271851</v>
      </c>
      <c r="AY8" s="78">
        <f>+AO8/F8</f>
        <v>0</v>
      </c>
      <c r="AZ8" s="12"/>
      <c r="BA8" s="18"/>
      <c r="BB8" s="18"/>
      <c r="BC8" s="18"/>
      <c r="BD8" s="71"/>
      <c r="BE8" s="18"/>
      <c r="BF8" s="18"/>
      <c r="BG8" s="18"/>
      <c r="BH8" s="3"/>
      <c r="BY8" s="1">
        <f>+W8-AL8</f>
        <v>0</v>
      </c>
      <c r="BZ8" s="1">
        <f t="shared" ref="BZ8:BZ71" si="12">+X8-AM8</f>
        <v>0</v>
      </c>
      <c r="CA8" s="1">
        <f t="shared" ref="CA8:CA71" si="13">+Y8-AN8</f>
        <v>0</v>
      </c>
    </row>
    <row r="9" spans="1:79" ht="15" customHeight="1" x14ac:dyDescent="0.25">
      <c r="A9" s="92" t="s">
        <v>151</v>
      </c>
      <c r="B9" s="100"/>
      <c r="C9" s="18">
        <v>185296.17</v>
      </c>
      <c r="D9" s="18">
        <v>49716.72</v>
      </c>
      <c r="E9" s="18">
        <f t="shared" si="6"/>
        <v>235012.89</v>
      </c>
      <c r="F9" s="18">
        <v>37422839</v>
      </c>
      <c r="G9" s="18">
        <v>9355710</v>
      </c>
      <c r="H9" s="18">
        <f t="shared" si="7"/>
        <v>46778549</v>
      </c>
      <c r="I9" s="102" t="e">
        <f>+C9-#REF!</f>
        <v>#REF!</v>
      </c>
      <c r="J9" s="102" t="e">
        <f>+D9-#REF!</f>
        <v>#REF!</v>
      </c>
      <c r="K9" s="18"/>
      <c r="L9" s="18"/>
      <c r="M9" s="18">
        <f t="shared" si="8"/>
        <v>0</v>
      </c>
      <c r="N9" s="18"/>
      <c r="O9" s="18"/>
      <c r="P9" s="18"/>
      <c r="Q9" s="18"/>
      <c r="R9" s="18">
        <v>20000</v>
      </c>
      <c r="S9" s="18">
        <f t="shared" ref="S9:S10" si="14">+R9+Q9</f>
        <v>20000</v>
      </c>
      <c r="T9" s="18"/>
      <c r="U9" s="18"/>
      <c r="V9" s="18"/>
      <c r="W9" s="18">
        <f t="shared" ref="W9:W10" si="15">+T9+Q9+N9+K9</f>
        <v>0</v>
      </c>
      <c r="X9" s="18">
        <f t="shared" ref="X9:X10" si="16">+U9+R9+O9+L9</f>
        <v>20000</v>
      </c>
      <c r="Y9" s="18">
        <f t="shared" ref="Y9:Y10" si="17">+V9+S9+P9+M9</f>
        <v>20000</v>
      </c>
      <c r="Z9" s="18"/>
      <c r="AA9" s="18"/>
      <c r="AB9" s="18">
        <f t="shared" si="10"/>
        <v>0</v>
      </c>
      <c r="AC9" s="18"/>
      <c r="AD9" s="18"/>
      <c r="AE9" s="18"/>
      <c r="AF9" s="18"/>
      <c r="AG9" s="18">
        <v>20000</v>
      </c>
      <c r="AH9" s="18">
        <f t="shared" ref="AH9:AH10" si="18">+AG9+AF9</f>
        <v>20000</v>
      </c>
      <c r="AI9" s="18"/>
      <c r="AJ9" s="18"/>
      <c r="AK9" s="18"/>
      <c r="AL9" s="18">
        <f t="shared" si="11"/>
        <v>0</v>
      </c>
      <c r="AM9" s="18">
        <f t="shared" si="11"/>
        <v>20000</v>
      </c>
      <c r="AN9" s="18">
        <f t="shared" si="11"/>
        <v>20000</v>
      </c>
      <c r="AO9" s="9"/>
      <c r="AQ9" s="1"/>
      <c r="AR9" s="1"/>
      <c r="AS9" s="1"/>
      <c r="AT9" s="12"/>
      <c r="AU9" s="12"/>
      <c r="AV9" s="20">
        <f t="shared" si="3"/>
        <v>0</v>
      </c>
      <c r="AW9" s="20">
        <f t="shared" si="3"/>
        <v>0.40227915276792192</v>
      </c>
      <c r="AX9" s="20">
        <f t="shared" si="3"/>
        <v>8.5101715059118663E-2</v>
      </c>
      <c r="AY9" s="12"/>
      <c r="AZ9" s="12"/>
      <c r="BA9" s="18"/>
      <c r="BB9" s="18"/>
      <c r="BC9" s="18"/>
      <c r="BD9" s="71"/>
      <c r="BE9" s="18"/>
      <c r="BF9" s="18"/>
      <c r="BG9" s="18"/>
      <c r="BH9" s="3"/>
      <c r="BY9" s="1">
        <f t="shared" ref="BY9:BY72" si="19">+W9-AL9</f>
        <v>0</v>
      </c>
      <c r="BZ9" s="1">
        <f t="shared" si="12"/>
        <v>0</v>
      </c>
      <c r="CA9" s="1">
        <f t="shared" si="13"/>
        <v>0</v>
      </c>
    </row>
    <row r="10" spans="1:79" ht="15" customHeight="1" x14ac:dyDescent="0.25">
      <c r="A10" s="92" t="s">
        <v>152</v>
      </c>
      <c r="B10" s="100"/>
      <c r="C10" s="18">
        <v>24448.49</v>
      </c>
      <c r="D10" s="18">
        <v>6526.85</v>
      </c>
      <c r="E10" s="18">
        <f t="shared" si="6"/>
        <v>30975.340000000004</v>
      </c>
      <c r="F10" s="18">
        <v>37422839</v>
      </c>
      <c r="G10" s="18">
        <v>9355710</v>
      </c>
      <c r="H10" s="18">
        <f t="shared" si="7"/>
        <v>46778549</v>
      </c>
      <c r="I10" s="102" t="e">
        <f>+C10-#REF!</f>
        <v>#REF!</v>
      </c>
      <c r="J10" s="102" t="e">
        <f>+D10-#REF!</f>
        <v>#REF!</v>
      </c>
      <c r="K10" s="18"/>
      <c r="L10" s="18"/>
      <c r="M10" s="18">
        <f t="shared" si="8"/>
        <v>0</v>
      </c>
      <c r="N10" s="18"/>
      <c r="O10" s="18"/>
      <c r="P10" s="18"/>
      <c r="Q10" s="18"/>
      <c r="R10" s="18"/>
      <c r="S10" s="18">
        <f t="shared" si="14"/>
        <v>0</v>
      </c>
      <c r="T10" s="18"/>
      <c r="U10" s="18"/>
      <c r="V10" s="18"/>
      <c r="W10" s="18">
        <f t="shared" si="15"/>
        <v>0</v>
      </c>
      <c r="X10" s="18">
        <f t="shared" si="16"/>
        <v>0</v>
      </c>
      <c r="Y10" s="18">
        <f t="shared" si="17"/>
        <v>0</v>
      </c>
      <c r="Z10" s="18"/>
      <c r="AA10" s="18"/>
      <c r="AB10" s="18">
        <f t="shared" si="10"/>
        <v>0</v>
      </c>
      <c r="AC10" s="18"/>
      <c r="AD10" s="18"/>
      <c r="AE10" s="18"/>
      <c r="AF10" s="18"/>
      <c r="AG10" s="18"/>
      <c r="AH10" s="18">
        <f t="shared" si="18"/>
        <v>0</v>
      </c>
      <c r="AI10" s="18"/>
      <c r="AJ10" s="18"/>
      <c r="AK10" s="18"/>
      <c r="AL10" s="18">
        <f t="shared" si="11"/>
        <v>0</v>
      </c>
      <c r="AM10" s="18">
        <f t="shared" si="11"/>
        <v>0</v>
      </c>
      <c r="AN10" s="18">
        <f t="shared" si="11"/>
        <v>0</v>
      </c>
      <c r="AO10" s="9"/>
      <c r="AQ10" s="1"/>
      <c r="AR10" s="1"/>
      <c r="AS10" s="1"/>
      <c r="AT10" s="12"/>
      <c r="AU10" s="12"/>
      <c r="AV10" s="20">
        <f t="shared" si="3"/>
        <v>0</v>
      </c>
      <c r="AW10" s="20">
        <f t="shared" si="3"/>
        <v>0</v>
      </c>
      <c r="AX10" s="20">
        <f t="shared" si="3"/>
        <v>0</v>
      </c>
      <c r="AY10" s="12"/>
      <c r="AZ10" s="12"/>
      <c r="BA10" s="18"/>
      <c r="BB10" s="18"/>
      <c r="BC10" s="18"/>
      <c r="BD10" s="71"/>
      <c r="BE10" s="18"/>
      <c r="BF10" s="18"/>
      <c r="BG10" s="18"/>
      <c r="BH10" s="3"/>
      <c r="BY10" s="1">
        <f t="shared" si="19"/>
        <v>0</v>
      </c>
      <c r="BZ10" s="1">
        <f t="shared" si="12"/>
        <v>0</v>
      </c>
      <c r="CA10" s="1">
        <f t="shared" si="13"/>
        <v>0</v>
      </c>
    </row>
    <row r="11" spans="1:79" ht="25.5" customHeight="1" x14ac:dyDescent="0.25">
      <c r="A11" s="88" t="s">
        <v>126</v>
      </c>
      <c r="B11" s="9"/>
      <c r="C11" s="89">
        <f>+C12</f>
        <v>0</v>
      </c>
      <c r="D11" s="89">
        <f t="shared" ref="D11:R11" si="20">+D12</f>
        <v>0</v>
      </c>
      <c r="E11" s="89">
        <f t="shared" si="20"/>
        <v>0</v>
      </c>
      <c r="F11" s="89">
        <f t="shared" si="20"/>
        <v>0</v>
      </c>
      <c r="G11" s="89">
        <f t="shared" si="20"/>
        <v>0</v>
      </c>
      <c r="H11" s="89">
        <f t="shared" si="20"/>
        <v>0</v>
      </c>
      <c r="I11" s="89">
        <f t="shared" si="20"/>
        <v>0</v>
      </c>
      <c r="J11" s="89">
        <f t="shared" si="20"/>
        <v>0</v>
      </c>
      <c r="K11" s="89">
        <f t="shared" si="20"/>
        <v>0</v>
      </c>
      <c r="L11" s="89">
        <f t="shared" si="20"/>
        <v>0</v>
      </c>
      <c r="M11" s="89">
        <f t="shared" si="20"/>
        <v>0</v>
      </c>
      <c r="N11" s="89">
        <f t="shared" si="20"/>
        <v>0</v>
      </c>
      <c r="O11" s="89">
        <f t="shared" si="20"/>
        <v>0</v>
      </c>
      <c r="P11" s="89">
        <f t="shared" si="20"/>
        <v>0</v>
      </c>
      <c r="Q11" s="89">
        <f t="shared" si="20"/>
        <v>0</v>
      </c>
      <c r="R11" s="89">
        <f t="shared" si="20"/>
        <v>0</v>
      </c>
      <c r="S11" s="89">
        <f t="shared" ref="S11" si="21">++R11+Q11</f>
        <v>0</v>
      </c>
      <c r="T11" s="89"/>
      <c r="U11" s="89"/>
      <c r="V11" s="89"/>
      <c r="W11" s="89"/>
      <c r="X11" s="89"/>
      <c r="Y11" s="89"/>
      <c r="Z11" s="89">
        <f t="shared" ref="Z11:AG11" si="22">+Z12</f>
        <v>0</v>
      </c>
      <c r="AA11" s="89">
        <f t="shared" si="22"/>
        <v>0</v>
      </c>
      <c r="AB11" s="89">
        <f t="shared" si="22"/>
        <v>0</v>
      </c>
      <c r="AC11" s="89">
        <f t="shared" si="22"/>
        <v>0</v>
      </c>
      <c r="AD11" s="89">
        <f t="shared" si="22"/>
        <v>0</v>
      </c>
      <c r="AE11" s="89">
        <f t="shared" si="22"/>
        <v>0</v>
      </c>
      <c r="AF11" s="89">
        <f t="shared" si="22"/>
        <v>0</v>
      </c>
      <c r="AG11" s="89">
        <f t="shared" si="22"/>
        <v>0</v>
      </c>
      <c r="AH11" s="89">
        <f t="shared" ref="AH11" si="23">++AG11+AF11</f>
        <v>0</v>
      </c>
      <c r="AI11" s="89"/>
      <c r="AJ11" s="89"/>
      <c r="AK11" s="89"/>
      <c r="AL11" s="89"/>
      <c r="AM11" s="89"/>
      <c r="AN11" s="89">
        <f t="shared" ref="AN11" si="24">+AM11+AL11</f>
        <v>0</v>
      </c>
      <c r="AO11" s="9"/>
      <c r="AT11" s="12"/>
      <c r="AU11" s="12"/>
      <c r="AV11" s="90"/>
      <c r="AW11" s="90"/>
      <c r="AX11" s="90"/>
      <c r="AY11" s="12"/>
      <c r="AZ11" s="12"/>
      <c r="BA11" s="89"/>
      <c r="BB11" s="89"/>
      <c r="BC11" s="89"/>
      <c r="BD11" s="71"/>
      <c r="BE11" s="89"/>
      <c r="BF11" s="89"/>
      <c r="BG11" s="89"/>
      <c r="BH11" s="71"/>
      <c r="BK11" s="7" t="s">
        <v>70</v>
      </c>
      <c r="BL11" s="21">
        <v>287803.21999999997</v>
      </c>
      <c r="BM11" s="21">
        <v>220033.04</v>
      </c>
      <c r="BN11" s="21">
        <f t="shared" ref="BN11:BN14" si="25">+BM11+BL11</f>
        <v>507836.26</v>
      </c>
      <c r="BO11" s="21">
        <v>71950.77</v>
      </c>
      <c r="BP11" s="21">
        <v>59997.39</v>
      </c>
      <c r="BQ11" s="21">
        <f t="shared" ref="BQ11:BQ14" si="26">+BP11+BO11</f>
        <v>131948.16</v>
      </c>
      <c r="BY11" s="1">
        <f t="shared" si="19"/>
        <v>0</v>
      </c>
      <c r="BZ11" s="1">
        <f t="shared" si="12"/>
        <v>0</v>
      </c>
      <c r="CA11" s="1">
        <f t="shared" si="13"/>
        <v>0</v>
      </c>
    </row>
    <row r="12" spans="1:79" ht="25.5" customHeight="1" x14ac:dyDescent="0.25">
      <c r="A12" s="92" t="s">
        <v>150</v>
      </c>
      <c r="B12" s="9"/>
      <c r="C12" s="18"/>
      <c r="D12" s="18"/>
      <c r="E12" s="18"/>
      <c r="F12" s="18"/>
      <c r="G12" s="18"/>
      <c r="H12" s="18"/>
      <c r="I12" s="10"/>
      <c r="J12" s="1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 t="shared" ref="W12" si="27">+T12+Q12+N12+K12</f>
        <v>0</v>
      </c>
      <c r="X12" s="18">
        <f t="shared" ref="X12" si="28">+U12+R12+O12+L12</f>
        <v>0</v>
      </c>
      <c r="Y12" s="18">
        <f t="shared" ref="Y12" si="29">+V12+S12+P12+M12</f>
        <v>0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>
        <f>+AI12+AF12+AC12+Z12</f>
        <v>0</v>
      </c>
      <c r="AM12" s="18">
        <f>+AJ12+AG12+AD12+AA12</f>
        <v>0</v>
      </c>
      <c r="AN12" s="18">
        <f>+AK12+AH12+AE12+AB12</f>
        <v>0</v>
      </c>
      <c r="AO12" s="9"/>
      <c r="AT12" s="12"/>
      <c r="AU12" s="12"/>
      <c r="AV12" s="20" t="e">
        <f t="shared" ref="AV12:AV27" si="30">+AL12/C12</f>
        <v>#DIV/0!</v>
      </c>
      <c r="AW12" s="20" t="e">
        <f t="shared" ref="AW12:AW27" si="31">+AM12/D12</f>
        <v>#DIV/0!</v>
      </c>
      <c r="AX12" s="20" t="e">
        <f t="shared" ref="AX12:AX27" si="32">+AN12/E12</f>
        <v>#DIV/0!</v>
      </c>
      <c r="AY12" s="12"/>
      <c r="AZ12" s="12"/>
      <c r="BA12" s="18"/>
      <c r="BB12" s="18"/>
      <c r="BC12" s="18"/>
      <c r="BD12" s="71"/>
      <c r="BE12" s="18"/>
      <c r="BF12" s="18"/>
      <c r="BG12" s="18"/>
      <c r="BH12" s="71"/>
      <c r="BL12" s="21"/>
      <c r="BM12" s="21"/>
      <c r="BN12" s="21"/>
      <c r="BO12" s="21"/>
      <c r="BP12" s="21"/>
      <c r="BQ12" s="21"/>
      <c r="BY12" s="1">
        <f t="shared" si="19"/>
        <v>0</v>
      </c>
      <c r="BZ12" s="1">
        <f t="shared" si="12"/>
        <v>0</v>
      </c>
      <c r="CA12" s="1">
        <f t="shared" si="13"/>
        <v>0</v>
      </c>
    </row>
    <row r="13" spans="1:79" s="7" customFormat="1" ht="24" x14ac:dyDescent="0.25">
      <c r="A13" s="29" t="s">
        <v>28</v>
      </c>
      <c r="B13" s="9"/>
      <c r="C13" s="30">
        <f>+C11+C7</f>
        <v>515738.18000000005</v>
      </c>
      <c r="D13" s="30">
        <f t="shared" ref="D13:AN13" si="33">+D11+D7</f>
        <v>138430.31000000003</v>
      </c>
      <c r="E13" s="30">
        <f t="shared" si="33"/>
        <v>654168.49</v>
      </c>
      <c r="F13" s="30">
        <f t="shared" si="33"/>
        <v>112268517</v>
      </c>
      <c r="G13" s="30">
        <f t="shared" si="33"/>
        <v>28067130</v>
      </c>
      <c r="H13" s="30">
        <f t="shared" si="33"/>
        <v>140335647</v>
      </c>
      <c r="I13" s="30" t="e">
        <f t="shared" si="33"/>
        <v>#REF!</v>
      </c>
      <c r="J13" s="30" t="e">
        <f t="shared" si="33"/>
        <v>#REF!</v>
      </c>
      <c r="K13" s="30">
        <f t="shared" si="33"/>
        <v>0</v>
      </c>
      <c r="L13" s="30">
        <f t="shared" si="33"/>
        <v>0</v>
      </c>
      <c r="M13" s="30">
        <f t="shared" si="33"/>
        <v>0</v>
      </c>
      <c r="N13" s="30">
        <f t="shared" si="33"/>
        <v>150177.57</v>
      </c>
      <c r="O13" s="30">
        <f t="shared" si="33"/>
        <v>17255.71</v>
      </c>
      <c r="P13" s="30">
        <f t="shared" si="33"/>
        <v>167433.28</v>
      </c>
      <c r="Q13" s="30">
        <f t="shared" si="33"/>
        <v>0</v>
      </c>
      <c r="R13" s="30">
        <f t="shared" si="33"/>
        <v>54000</v>
      </c>
      <c r="S13" s="30">
        <f t="shared" si="33"/>
        <v>54000</v>
      </c>
      <c r="T13" s="30">
        <f t="shared" si="33"/>
        <v>0</v>
      </c>
      <c r="U13" s="30">
        <f t="shared" si="33"/>
        <v>0</v>
      </c>
      <c r="V13" s="30">
        <f t="shared" si="33"/>
        <v>0</v>
      </c>
      <c r="W13" s="30">
        <f t="shared" ref="W13:Y13" si="34">+W11+W7</f>
        <v>150177.57</v>
      </c>
      <c r="X13" s="30">
        <f t="shared" si="34"/>
        <v>71255.709999999992</v>
      </c>
      <c r="Y13" s="30">
        <f t="shared" si="34"/>
        <v>221433.28</v>
      </c>
      <c r="Z13" s="30">
        <f t="shared" ref="Z13:AK13" si="35">+Z11+Z7</f>
        <v>0</v>
      </c>
      <c r="AA13" s="30">
        <f t="shared" si="35"/>
        <v>0</v>
      </c>
      <c r="AB13" s="30">
        <f t="shared" si="35"/>
        <v>0</v>
      </c>
      <c r="AC13" s="30">
        <f t="shared" si="35"/>
        <v>150177.57</v>
      </c>
      <c r="AD13" s="30">
        <f t="shared" si="35"/>
        <v>17255.71</v>
      </c>
      <c r="AE13" s="30">
        <f t="shared" si="35"/>
        <v>167433.28</v>
      </c>
      <c r="AF13" s="30">
        <f t="shared" si="35"/>
        <v>0</v>
      </c>
      <c r="AG13" s="30">
        <f t="shared" si="35"/>
        <v>54000</v>
      </c>
      <c r="AH13" s="30">
        <f t="shared" si="35"/>
        <v>54000</v>
      </c>
      <c r="AI13" s="30">
        <f t="shared" si="35"/>
        <v>0</v>
      </c>
      <c r="AJ13" s="30">
        <f t="shared" si="35"/>
        <v>0</v>
      </c>
      <c r="AK13" s="30">
        <f t="shared" si="35"/>
        <v>0</v>
      </c>
      <c r="AL13" s="30">
        <f t="shared" si="33"/>
        <v>150177.57</v>
      </c>
      <c r="AM13" s="30">
        <f t="shared" si="33"/>
        <v>71255.709999999992</v>
      </c>
      <c r="AN13" s="30">
        <f t="shared" si="33"/>
        <v>221433.28</v>
      </c>
      <c r="AO13" s="9"/>
      <c r="AR13" s="8"/>
      <c r="AS13" s="8"/>
      <c r="AT13" s="12"/>
      <c r="AU13" s="12"/>
      <c r="AV13" s="32">
        <f t="shared" si="30"/>
        <v>0.29118955280758929</v>
      </c>
      <c r="AW13" s="32">
        <f t="shared" si="31"/>
        <v>0.51474066626015635</v>
      </c>
      <c r="AX13" s="32">
        <f t="shared" si="32"/>
        <v>0.33849579028179727</v>
      </c>
      <c r="AY13" s="12"/>
      <c r="AZ13" s="12"/>
      <c r="BA13" s="30">
        <f t="shared" ref="BA13:BC19" si="36">+C13-K13-N13-Q13</f>
        <v>365560.61000000004</v>
      </c>
      <c r="BB13" s="30">
        <f t="shared" si="36"/>
        <v>67174.600000000035</v>
      </c>
      <c r="BC13" s="30">
        <f t="shared" si="36"/>
        <v>432735.20999999996</v>
      </c>
      <c r="BD13" s="71"/>
      <c r="BE13" s="30">
        <f t="shared" ref="BE13:BG14" si="37">+K13+N13+Q13-AL13</f>
        <v>0</v>
      </c>
      <c r="BF13" s="30">
        <f t="shared" si="37"/>
        <v>0</v>
      </c>
      <c r="BG13" s="30">
        <f t="shared" si="37"/>
        <v>0</v>
      </c>
      <c r="BH13" s="72"/>
      <c r="BK13" s="7" t="s">
        <v>73</v>
      </c>
      <c r="BL13" s="21">
        <v>269896.19</v>
      </c>
      <c r="BM13" s="21"/>
      <c r="BN13" s="21">
        <f t="shared" si="25"/>
        <v>269896.19</v>
      </c>
      <c r="BO13" s="21">
        <v>90468.6</v>
      </c>
      <c r="BQ13" s="21">
        <f t="shared" si="26"/>
        <v>90468.6</v>
      </c>
      <c r="BS13" s="1"/>
      <c r="BT13" s="1"/>
      <c r="BU13" s="1"/>
      <c r="BV13" s="1"/>
      <c r="BW13" s="1"/>
      <c r="BY13" s="1">
        <f t="shared" si="19"/>
        <v>0</v>
      </c>
      <c r="BZ13" s="1">
        <f t="shared" si="12"/>
        <v>0</v>
      </c>
      <c r="CA13" s="1">
        <f t="shared" si="13"/>
        <v>0</v>
      </c>
    </row>
    <row r="14" spans="1:79" s="7" customFormat="1" ht="24" x14ac:dyDescent="0.25">
      <c r="A14" s="4" t="s">
        <v>127</v>
      </c>
      <c r="B14" s="9"/>
      <c r="C14" s="18">
        <v>0</v>
      </c>
      <c r="D14" s="18">
        <v>26300.639999999999</v>
      </c>
      <c r="E14" s="18">
        <f t="shared" ref="E14" si="38">+D14+C14</f>
        <v>26300.639999999999</v>
      </c>
      <c r="F14" s="18"/>
      <c r="G14" s="18"/>
      <c r="H14" s="18"/>
      <c r="I14" s="10" t="e">
        <f>+C14-#REF!</f>
        <v>#REF!</v>
      </c>
      <c r="J14" s="10" t="e">
        <f>+D14-#REF!</f>
        <v>#REF!</v>
      </c>
      <c r="K14" s="18"/>
      <c r="L14" s="18"/>
      <c r="M14" s="18">
        <f t="shared" ref="M14" si="39">+L14+K14</f>
        <v>0</v>
      </c>
      <c r="N14" s="18"/>
      <c r="O14" s="18"/>
      <c r="P14" s="18">
        <f t="shared" ref="P14:P18" si="40">+O14+N14</f>
        <v>0</v>
      </c>
      <c r="Q14" s="18"/>
      <c r="R14" s="18"/>
      <c r="S14" s="18"/>
      <c r="T14" s="18"/>
      <c r="U14" s="18"/>
      <c r="V14" s="18"/>
      <c r="W14" s="18">
        <f t="shared" ref="W14:W16" si="41">+T14+Q14+N14+K14</f>
        <v>0</v>
      </c>
      <c r="X14" s="18">
        <f t="shared" ref="X14:X16" si="42">+U14+R14+O14+L14</f>
        <v>0</v>
      </c>
      <c r="Y14" s="18">
        <f t="shared" ref="Y14:Y16" si="43">+V14+S14+P14+M14</f>
        <v>0</v>
      </c>
      <c r="Z14" s="18"/>
      <c r="AA14" s="18"/>
      <c r="AB14" s="18">
        <f t="shared" ref="AB14:AB16" si="44">+AA14+Z14</f>
        <v>0</v>
      </c>
      <c r="AC14" s="18"/>
      <c r="AD14" s="18"/>
      <c r="AE14" s="18">
        <f t="shared" ref="AE14:AE16" si="45">+AD14+AC14</f>
        <v>0</v>
      </c>
      <c r="AF14" s="18"/>
      <c r="AG14" s="18"/>
      <c r="AH14" s="18"/>
      <c r="AI14" s="18"/>
      <c r="AJ14" s="18"/>
      <c r="AK14" s="18"/>
      <c r="AL14" s="18">
        <f t="shared" ref="AL14:AN16" si="46">+AI14+AF14+AC14+Z14</f>
        <v>0</v>
      </c>
      <c r="AM14" s="18">
        <f t="shared" si="46"/>
        <v>0</v>
      </c>
      <c r="AN14" s="18">
        <f t="shared" si="46"/>
        <v>0</v>
      </c>
      <c r="AO14" s="9"/>
      <c r="AR14" s="8"/>
      <c r="AS14" s="8"/>
      <c r="AT14" s="12"/>
      <c r="AU14" s="12"/>
      <c r="AV14" s="20" t="e">
        <f t="shared" si="30"/>
        <v>#DIV/0!</v>
      </c>
      <c r="AW14" s="20">
        <f t="shared" si="31"/>
        <v>0</v>
      </c>
      <c r="AX14" s="20">
        <f t="shared" si="32"/>
        <v>0</v>
      </c>
      <c r="AY14" s="12"/>
      <c r="AZ14" s="12"/>
      <c r="BA14" s="82">
        <f t="shared" si="36"/>
        <v>0</v>
      </c>
      <c r="BB14" s="82">
        <f t="shared" si="36"/>
        <v>26300.639999999999</v>
      </c>
      <c r="BC14" s="82">
        <f t="shared" si="36"/>
        <v>26300.639999999999</v>
      </c>
      <c r="BD14" s="71"/>
      <c r="BE14" s="18">
        <f t="shared" si="37"/>
        <v>0</v>
      </c>
      <c r="BF14" s="18">
        <f t="shared" si="37"/>
        <v>0</v>
      </c>
      <c r="BG14" s="18">
        <f t="shared" si="37"/>
        <v>0</v>
      </c>
      <c r="BH14" s="71"/>
      <c r="BK14" s="7" t="s">
        <v>75</v>
      </c>
      <c r="BL14" s="21">
        <v>0</v>
      </c>
      <c r="BM14" s="21"/>
      <c r="BN14" s="21">
        <f t="shared" si="25"/>
        <v>0</v>
      </c>
      <c r="BO14" s="21"/>
      <c r="BQ14" s="21">
        <f t="shared" si="26"/>
        <v>0</v>
      </c>
      <c r="BS14" s="1"/>
      <c r="BT14" s="1"/>
      <c r="BU14" s="1"/>
      <c r="BV14" s="1"/>
      <c r="BW14" s="1"/>
      <c r="BY14" s="1">
        <f t="shared" si="19"/>
        <v>0</v>
      </c>
      <c r="BZ14" s="1">
        <f t="shared" si="12"/>
        <v>0</v>
      </c>
      <c r="CA14" s="1">
        <f t="shared" si="13"/>
        <v>0</v>
      </c>
    </row>
    <row r="15" spans="1:79" s="7" customFormat="1" ht="24" x14ac:dyDescent="0.25">
      <c r="A15" s="4" t="s">
        <v>27</v>
      </c>
      <c r="B15" s="9"/>
      <c r="C15" s="18">
        <v>75048.52</v>
      </c>
      <c r="D15" s="18">
        <v>20857.080000000002</v>
      </c>
      <c r="E15" s="18">
        <f t="shared" ref="E15" si="47">+D15+C15</f>
        <v>95905.600000000006</v>
      </c>
      <c r="F15" s="18"/>
      <c r="G15" s="18"/>
      <c r="H15" s="18"/>
      <c r="I15" s="10" t="e">
        <f>+C15-#REF!</f>
        <v>#REF!</v>
      </c>
      <c r="J15" s="10" t="e">
        <f>+D15-#REF!</f>
        <v>#REF!</v>
      </c>
      <c r="K15" s="18"/>
      <c r="L15" s="18"/>
      <c r="M15" s="18">
        <f t="shared" ref="M15" si="48">+L15+K15</f>
        <v>0</v>
      </c>
      <c r="N15" s="18">
        <v>69022.84</v>
      </c>
      <c r="O15" s="18">
        <v>17255.71</v>
      </c>
      <c r="P15" s="18">
        <f t="shared" si="40"/>
        <v>86278.549999999988</v>
      </c>
      <c r="Q15" s="18"/>
      <c r="R15" s="18">
        <v>6000</v>
      </c>
      <c r="S15" s="18">
        <f t="shared" ref="S15:S16" si="49">++R15+Q15</f>
        <v>6000</v>
      </c>
      <c r="T15" s="18"/>
      <c r="U15" s="18"/>
      <c r="V15" s="18"/>
      <c r="W15" s="18">
        <f t="shared" si="41"/>
        <v>69022.84</v>
      </c>
      <c r="X15" s="18">
        <f t="shared" si="42"/>
        <v>23255.71</v>
      </c>
      <c r="Y15" s="18">
        <f t="shared" si="43"/>
        <v>92278.549999999988</v>
      </c>
      <c r="Z15" s="18"/>
      <c r="AA15" s="18"/>
      <c r="AB15" s="18">
        <f t="shared" si="44"/>
        <v>0</v>
      </c>
      <c r="AC15" s="18">
        <v>69022.84</v>
      </c>
      <c r="AD15" s="18">
        <v>17255.71</v>
      </c>
      <c r="AE15" s="18">
        <f t="shared" si="45"/>
        <v>86278.549999999988</v>
      </c>
      <c r="AF15" s="18"/>
      <c r="AG15" s="18">
        <v>6000</v>
      </c>
      <c r="AH15" s="18">
        <f t="shared" ref="AH15:AH16" si="50">++AG15+AF15</f>
        <v>6000</v>
      </c>
      <c r="AI15" s="18"/>
      <c r="AJ15" s="18"/>
      <c r="AK15" s="18"/>
      <c r="AL15" s="18">
        <f t="shared" si="46"/>
        <v>69022.84</v>
      </c>
      <c r="AM15" s="18">
        <f t="shared" si="46"/>
        <v>23255.71</v>
      </c>
      <c r="AN15" s="18">
        <f t="shared" si="46"/>
        <v>92278.549999999988</v>
      </c>
      <c r="AO15" s="9"/>
      <c r="AR15" s="8"/>
      <c r="AS15" s="8"/>
      <c r="AT15" s="12"/>
      <c r="AU15" s="12"/>
      <c r="AV15" s="20">
        <f t="shared" si="30"/>
        <v>0.91970954257325788</v>
      </c>
      <c r="AW15" s="20">
        <f t="shared" si="31"/>
        <v>1.115003154804028</v>
      </c>
      <c r="AX15" s="20">
        <f t="shared" si="32"/>
        <v>0.96218104052318099</v>
      </c>
      <c r="AY15" s="12"/>
      <c r="AZ15" s="12"/>
      <c r="BA15" s="82">
        <f t="shared" si="36"/>
        <v>6025.6800000000076</v>
      </c>
      <c r="BB15" s="82">
        <f t="shared" si="36"/>
        <v>-2398.6299999999974</v>
      </c>
      <c r="BC15" s="82">
        <f t="shared" si="36"/>
        <v>3627.0500000000175</v>
      </c>
      <c r="BD15" s="71"/>
      <c r="BE15" s="18">
        <f t="shared" ref="BE15:BG16" si="51">+K15+N15+Q15-AL15+BA15</f>
        <v>6025.6800000000076</v>
      </c>
      <c r="BF15" s="18">
        <f t="shared" si="51"/>
        <v>-2398.6299999999974</v>
      </c>
      <c r="BG15" s="18">
        <f t="shared" si="51"/>
        <v>3627.0500000000175</v>
      </c>
      <c r="BH15" s="71"/>
      <c r="BS15" s="1"/>
      <c r="BT15" s="1"/>
      <c r="BU15" s="1"/>
      <c r="BV15" s="1"/>
      <c r="BW15" s="1"/>
      <c r="BY15" s="1">
        <f t="shared" si="19"/>
        <v>0</v>
      </c>
      <c r="BZ15" s="1">
        <f t="shared" si="12"/>
        <v>0</v>
      </c>
      <c r="CA15" s="1">
        <f t="shared" si="13"/>
        <v>0</v>
      </c>
    </row>
    <row r="16" spans="1:79" ht="24" x14ac:dyDescent="0.25">
      <c r="A16" s="4" t="s">
        <v>128</v>
      </c>
      <c r="B16" s="9"/>
      <c r="C16" s="18">
        <v>0</v>
      </c>
      <c r="D16" s="18"/>
      <c r="E16" s="18">
        <f t="shared" ref="E16" si="52">+D16+C16</f>
        <v>0</v>
      </c>
      <c r="F16" s="18"/>
      <c r="G16" s="18"/>
      <c r="H16" s="18"/>
      <c r="I16" s="10" t="e">
        <f>+C16-#REF!</f>
        <v>#REF!</v>
      </c>
      <c r="J16" s="10" t="e">
        <f>+D16-#REF!</f>
        <v>#REF!</v>
      </c>
      <c r="K16" s="18"/>
      <c r="L16" s="18"/>
      <c r="M16" s="18">
        <f t="shared" ref="M16" si="53">+L16+K16</f>
        <v>0</v>
      </c>
      <c r="N16" s="18"/>
      <c r="O16" s="18"/>
      <c r="P16" s="18">
        <f t="shared" si="40"/>
        <v>0</v>
      </c>
      <c r="Q16" s="18"/>
      <c r="R16" s="18"/>
      <c r="S16" s="18">
        <f t="shared" si="49"/>
        <v>0</v>
      </c>
      <c r="T16" s="18"/>
      <c r="U16" s="18"/>
      <c r="V16" s="18"/>
      <c r="W16" s="18">
        <f t="shared" si="41"/>
        <v>0</v>
      </c>
      <c r="X16" s="18">
        <f t="shared" si="42"/>
        <v>0</v>
      </c>
      <c r="Y16" s="18">
        <f t="shared" si="43"/>
        <v>0</v>
      </c>
      <c r="Z16" s="18"/>
      <c r="AA16" s="18"/>
      <c r="AB16" s="18">
        <f t="shared" si="44"/>
        <v>0</v>
      </c>
      <c r="AC16" s="18"/>
      <c r="AD16" s="18"/>
      <c r="AE16" s="18">
        <f t="shared" si="45"/>
        <v>0</v>
      </c>
      <c r="AF16" s="18"/>
      <c r="AG16" s="18"/>
      <c r="AH16" s="18">
        <f t="shared" si="50"/>
        <v>0</v>
      </c>
      <c r="AI16" s="18"/>
      <c r="AJ16" s="18"/>
      <c r="AK16" s="18"/>
      <c r="AL16" s="18">
        <f t="shared" si="46"/>
        <v>0</v>
      </c>
      <c r="AM16" s="18">
        <f t="shared" si="46"/>
        <v>0</v>
      </c>
      <c r="AN16" s="18">
        <f t="shared" si="46"/>
        <v>0</v>
      </c>
      <c r="AO16" s="9"/>
      <c r="AT16" s="12"/>
      <c r="AU16" s="12"/>
      <c r="AV16" s="20" t="e">
        <f t="shared" si="30"/>
        <v>#DIV/0!</v>
      </c>
      <c r="AW16" s="20" t="e">
        <f t="shared" si="31"/>
        <v>#DIV/0!</v>
      </c>
      <c r="AX16" s="20" t="e">
        <f t="shared" si="32"/>
        <v>#DIV/0!</v>
      </c>
      <c r="AY16" s="12"/>
      <c r="AZ16" s="12"/>
      <c r="BA16" s="82">
        <f t="shared" si="36"/>
        <v>0</v>
      </c>
      <c r="BB16" s="82">
        <f t="shared" si="36"/>
        <v>0</v>
      </c>
      <c r="BC16" s="82">
        <f t="shared" si="36"/>
        <v>0</v>
      </c>
      <c r="BD16" s="71"/>
      <c r="BE16" s="18">
        <f t="shared" si="51"/>
        <v>0</v>
      </c>
      <c r="BF16" s="18">
        <f t="shared" si="51"/>
        <v>0</v>
      </c>
      <c r="BG16" s="18">
        <f t="shared" si="51"/>
        <v>0</v>
      </c>
      <c r="BH16" s="71"/>
      <c r="BL16" s="21"/>
      <c r="BM16" s="21"/>
      <c r="BY16" s="1">
        <f t="shared" si="19"/>
        <v>0</v>
      </c>
      <c r="BZ16" s="1">
        <f t="shared" si="12"/>
        <v>0</v>
      </c>
      <c r="CA16" s="1">
        <f t="shared" si="13"/>
        <v>0</v>
      </c>
    </row>
    <row r="17" spans="1:79" x14ac:dyDescent="0.25">
      <c r="A17" s="29" t="s">
        <v>106</v>
      </c>
      <c r="B17" s="9"/>
      <c r="C17" s="30">
        <f>SUM(C14:C16)</f>
        <v>75048.52</v>
      </c>
      <c r="D17" s="30">
        <f t="shared" ref="D17:AN17" si="54">SUM(D14:D16)</f>
        <v>47157.72</v>
      </c>
      <c r="E17" s="30">
        <f t="shared" si="54"/>
        <v>122206.24</v>
      </c>
      <c r="F17" s="30">
        <f t="shared" si="54"/>
        <v>0</v>
      </c>
      <c r="G17" s="30">
        <f t="shared" si="54"/>
        <v>0</v>
      </c>
      <c r="H17" s="30">
        <f t="shared" si="54"/>
        <v>0</v>
      </c>
      <c r="I17" s="30" t="e">
        <f t="shared" si="54"/>
        <v>#REF!</v>
      </c>
      <c r="J17" s="30" t="e">
        <f t="shared" si="54"/>
        <v>#REF!</v>
      </c>
      <c r="K17" s="30">
        <f t="shared" si="54"/>
        <v>0</v>
      </c>
      <c r="L17" s="30">
        <f t="shared" si="54"/>
        <v>0</v>
      </c>
      <c r="M17" s="30">
        <f t="shared" si="54"/>
        <v>0</v>
      </c>
      <c r="N17" s="30">
        <f t="shared" si="54"/>
        <v>69022.84</v>
      </c>
      <c r="O17" s="30">
        <f t="shared" si="54"/>
        <v>17255.71</v>
      </c>
      <c r="P17" s="30">
        <f t="shared" si="54"/>
        <v>86278.549999999988</v>
      </c>
      <c r="Q17" s="30">
        <f t="shared" si="54"/>
        <v>0</v>
      </c>
      <c r="R17" s="30">
        <f t="shared" si="54"/>
        <v>6000</v>
      </c>
      <c r="S17" s="30">
        <f t="shared" si="54"/>
        <v>6000</v>
      </c>
      <c r="T17" s="30">
        <f t="shared" si="54"/>
        <v>0</v>
      </c>
      <c r="U17" s="30">
        <f t="shared" si="54"/>
        <v>0</v>
      </c>
      <c r="V17" s="30">
        <f t="shared" si="54"/>
        <v>0</v>
      </c>
      <c r="W17" s="30">
        <f t="shared" ref="W17:Y17" si="55">SUM(W14:W16)</f>
        <v>69022.84</v>
      </c>
      <c r="X17" s="30">
        <f t="shared" si="55"/>
        <v>23255.71</v>
      </c>
      <c r="Y17" s="30">
        <f t="shared" si="55"/>
        <v>92278.549999999988</v>
      </c>
      <c r="Z17" s="30">
        <f t="shared" ref="Z17:AK17" si="56">SUM(Z14:Z16)</f>
        <v>0</v>
      </c>
      <c r="AA17" s="30">
        <f t="shared" si="56"/>
        <v>0</v>
      </c>
      <c r="AB17" s="30">
        <f t="shared" si="56"/>
        <v>0</v>
      </c>
      <c r="AC17" s="30">
        <f t="shared" si="56"/>
        <v>69022.84</v>
      </c>
      <c r="AD17" s="30">
        <f t="shared" si="56"/>
        <v>17255.71</v>
      </c>
      <c r="AE17" s="30">
        <f t="shared" si="56"/>
        <v>86278.549999999988</v>
      </c>
      <c r="AF17" s="30">
        <f t="shared" si="56"/>
        <v>0</v>
      </c>
      <c r="AG17" s="30">
        <f t="shared" si="56"/>
        <v>6000</v>
      </c>
      <c r="AH17" s="30">
        <f t="shared" si="56"/>
        <v>6000</v>
      </c>
      <c r="AI17" s="30">
        <f t="shared" si="56"/>
        <v>0</v>
      </c>
      <c r="AJ17" s="30">
        <f t="shared" si="56"/>
        <v>0</v>
      </c>
      <c r="AK17" s="30">
        <f t="shared" si="56"/>
        <v>0</v>
      </c>
      <c r="AL17" s="30">
        <f t="shared" si="54"/>
        <v>69022.84</v>
      </c>
      <c r="AM17" s="30">
        <f t="shared" si="54"/>
        <v>23255.71</v>
      </c>
      <c r="AN17" s="30">
        <f t="shared" si="54"/>
        <v>92278.549999999988</v>
      </c>
      <c r="AO17" s="9"/>
      <c r="AT17" s="12"/>
      <c r="AU17" s="12"/>
      <c r="AV17" s="32">
        <f t="shared" si="30"/>
        <v>0.91970954257325788</v>
      </c>
      <c r="AW17" s="32">
        <f t="shared" si="31"/>
        <v>0.49314746344819044</v>
      </c>
      <c r="AX17" s="32">
        <f t="shared" si="32"/>
        <v>0.75510505846509957</v>
      </c>
      <c r="AY17" s="12"/>
      <c r="AZ17" s="12"/>
      <c r="BA17" s="30">
        <f t="shared" si="36"/>
        <v>6025.6800000000076</v>
      </c>
      <c r="BB17" s="30">
        <f t="shared" si="36"/>
        <v>23902.010000000002</v>
      </c>
      <c r="BC17" s="30">
        <f t="shared" si="36"/>
        <v>29927.690000000017</v>
      </c>
      <c r="BD17" s="71"/>
      <c r="BE17" s="30">
        <f>+K17+N17+Q17-AL17</f>
        <v>0</v>
      </c>
      <c r="BF17" s="30">
        <f>+L17+O17+R17-AM17</f>
        <v>0</v>
      </c>
      <c r="BG17" s="30">
        <f>+M17+P17+S17-AN17</f>
        <v>0</v>
      </c>
      <c r="BH17" s="72"/>
      <c r="BK17" s="39"/>
      <c r="BL17" s="39"/>
      <c r="BM17" s="39"/>
      <c r="BN17" s="39"/>
      <c r="BO17" s="39"/>
      <c r="BP17" s="39"/>
      <c r="BQ17" s="39"/>
      <c r="BY17" s="1">
        <f t="shared" si="19"/>
        <v>0</v>
      </c>
      <c r="BZ17" s="1">
        <f t="shared" si="12"/>
        <v>0</v>
      </c>
      <c r="CA17" s="1">
        <f t="shared" si="13"/>
        <v>0</v>
      </c>
    </row>
    <row r="18" spans="1:79" ht="24" x14ac:dyDescent="0.25">
      <c r="A18" s="4" t="s">
        <v>164</v>
      </c>
      <c r="B18" s="9"/>
      <c r="C18" s="18">
        <v>9455.2999999999993</v>
      </c>
      <c r="D18" s="18">
        <v>17520.919999999998</v>
      </c>
      <c r="E18" s="18">
        <f t="shared" ref="E18" si="57">+D18+C18</f>
        <v>26976.219999999998</v>
      </c>
      <c r="F18" s="18"/>
      <c r="G18" s="18"/>
      <c r="H18" s="18"/>
      <c r="I18" s="10" t="e">
        <f>+C18-#REF!</f>
        <v>#REF!</v>
      </c>
      <c r="J18" s="10" t="e">
        <f>+D18-#REF!</f>
        <v>#REF!</v>
      </c>
      <c r="K18" s="18">
        <v>0</v>
      </c>
      <c r="L18" s="18"/>
      <c r="M18" s="18"/>
      <c r="N18" s="18">
        <v>0</v>
      </c>
      <c r="O18" s="18">
        <v>0</v>
      </c>
      <c r="P18" s="18">
        <f t="shared" si="40"/>
        <v>0</v>
      </c>
      <c r="Q18" s="18"/>
      <c r="R18" s="18"/>
      <c r="S18" s="18">
        <f>++R18+Q18</f>
        <v>0</v>
      </c>
      <c r="T18" s="18">
        <f>3704.95+3037.52</f>
        <v>6742.4699999999993</v>
      </c>
      <c r="U18" s="18"/>
      <c r="V18" s="18">
        <f t="shared" ref="V18" si="58">+U18+T18</f>
        <v>6742.4699999999993</v>
      </c>
      <c r="W18" s="18">
        <f t="shared" ref="W18" si="59">+T18+Q18+N18+K18</f>
        <v>6742.4699999999993</v>
      </c>
      <c r="X18" s="18">
        <f t="shared" ref="X18" si="60">+U18+R18+O18+L18</f>
        <v>0</v>
      </c>
      <c r="Y18" s="18">
        <f t="shared" ref="Y18" si="61">+V18+S18+P18+M18</f>
        <v>6742.4699999999993</v>
      </c>
      <c r="Z18" s="18">
        <v>0</v>
      </c>
      <c r="AA18" s="18"/>
      <c r="AB18" s="18"/>
      <c r="AC18" s="18">
        <v>0</v>
      </c>
      <c r="AD18" s="18">
        <v>0</v>
      </c>
      <c r="AE18" s="18">
        <f t="shared" ref="AE18" si="62">+AD18+AC18</f>
        <v>0</v>
      </c>
      <c r="AF18" s="18"/>
      <c r="AG18" s="18"/>
      <c r="AH18" s="18">
        <f>++AG18+AF18</f>
        <v>0</v>
      </c>
      <c r="AI18" s="18">
        <v>6742.47</v>
      </c>
      <c r="AJ18" s="18"/>
      <c r="AK18" s="18">
        <f t="shared" ref="AK18" si="63">+AJ18+AI18</f>
        <v>6742.47</v>
      </c>
      <c r="AL18" s="18">
        <f>+AI18+AF18+AC18+Z18</f>
        <v>6742.47</v>
      </c>
      <c r="AM18" s="18">
        <f>+AJ18+AG18+AD18+AA18</f>
        <v>0</v>
      </c>
      <c r="AN18" s="18">
        <f>+AK18+AH18+AE18+AB18</f>
        <v>6742.47</v>
      </c>
      <c r="AO18" s="9"/>
      <c r="AT18" s="12"/>
      <c r="AU18" s="12"/>
      <c r="AV18" s="20">
        <f t="shared" si="30"/>
        <v>0.71308895540067485</v>
      </c>
      <c r="AW18" s="20">
        <f t="shared" si="31"/>
        <v>0</v>
      </c>
      <c r="AX18" s="20">
        <f t="shared" si="32"/>
        <v>0.24994124454797598</v>
      </c>
      <c r="AY18" s="12"/>
      <c r="AZ18" s="12"/>
      <c r="BA18" s="82">
        <f t="shared" si="36"/>
        <v>9455.2999999999993</v>
      </c>
      <c r="BB18" s="82">
        <f t="shared" si="36"/>
        <v>17520.919999999998</v>
      </c>
      <c r="BC18" s="82">
        <f t="shared" si="36"/>
        <v>26976.219999999998</v>
      </c>
      <c r="BD18" s="71"/>
      <c r="BE18" s="18">
        <f>+K18+N18+Q18-AL18+BA18</f>
        <v>2712.829999999999</v>
      </c>
      <c r="BF18" s="18">
        <f>+L18+O18+R18-AM18+BB18</f>
        <v>17520.919999999998</v>
      </c>
      <c r="BG18" s="18">
        <f>+M18+P18+S18-AN18+BC18</f>
        <v>20233.749999999996</v>
      </c>
      <c r="BH18" s="71"/>
      <c r="BY18" s="1">
        <f t="shared" si="19"/>
        <v>0</v>
      </c>
      <c r="BZ18" s="1">
        <f t="shared" si="12"/>
        <v>0</v>
      </c>
      <c r="CA18" s="1">
        <f t="shared" si="13"/>
        <v>0</v>
      </c>
    </row>
    <row r="19" spans="1:79" x14ac:dyDescent="0.25">
      <c r="A19" s="29" t="s">
        <v>58</v>
      </c>
      <c r="B19" s="9"/>
      <c r="C19" s="30">
        <f>SUM(C18:C18)</f>
        <v>9455.2999999999993</v>
      </c>
      <c r="D19" s="30">
        <f>SUM(D18:D18)</f>
        <v>17520.919999999998</v>
      </c>
      <c r="E19" s="30">
        <f>SUM(E18:E18)</f>
        <v>26976.219999999998</v>
      </c>
      <c r="F19" s="30"/>
      <c r="G19" s="30"/>
      <c r="H19" s="30"/>
      <c r="I19" s="10" t="e">
        <f>+C19-#REF!</f>
        <v>#REF!</v>
      </c>
      <c r="J19" s="10" t="e">
        <f>+D19-#REF!</f>
        <v>#REF!</v>
      </c>
      <c r="K19" s="30">
        <f t="shared" ref="K19:AN19" si="64">SUM(K18:K18)</f>
        <v>0</v>
      </c>
      <c r="L19" s="30">
        <f t="shared" si="64"/>
        <v>0</v>
      </c>
      <c r="M19" s="30">
        <f t="shared" si="64"/>
        <v>0</v>
      </c>
      <c r="N19" s="30">
        <f t="shared" si="64"/>
        <v>0</v>
      </c>
      <c r="O19" s="30">
        <f t="shared" si="64"/>
        <v>0</v>
      </c>
      <c r="P19" s="30">
        <f t="shared" si="64"/>
        <v>0</v>
      </c>
      <c r="Q19" s="30">
        <f t="shared" si="64"/>
        <v>0</v>
      </c>
      <c r="R19" s="30">
        <f t="shared" si="64"/>
        <v>0</v>
      </c>
      <c r="S19" s="30">
        <f t="shared" si="64"/>
        <v>0</v>
      </c>
      <c r="T19" s="30">
        <f t="shared" si="64"/>
        <v>6742.4699999999993</v>
      </c>
      <c r="U19" s="30">
        <f t="shared" si="64"/>
        <v>0</v>
      </c>
      <c r="V19" s="30">
        <f t="shared" si="64"/>
        <v>6742.4699999999993</v>
      </c>
      <c r="W19" s="30">
        <f t="shared" ref="W19:Y19" si="65">SUM(W18:W18)</f>
        <v>6742.4699999999993</v>
      </c>
      <c r="X19" s="30">
        <f t="shared" si="65"/>
        <v>0</v>
      </c>
      <c r="Y19" s="30">
        <f t="shared" si="65"/>
        <v>6742.4699999999993</v>
      </c>
      <c r="Z19" s="30">
        <f t="shared" ref="Z19:AK19" si="66">SUM(Z18:Z18)</f>
        <v>0</v>
      </c>
      <c r="AA19" s="30">
        <f t="shared" si="66"/>
        <v>0</v>
      </c>
      <c r="AB19" s="30">
        <f t="shared" si="66"/>
        <v>0</v>
      </c>
      <c r="AC19" s="30">
        <f t="shared" si="66"/>
        <v>0</v>
      </c>
      <c r="AD19" s="30">
        <f t="shared" si="66"/>
        <v>0</v>
      </c>
      <c r="AE19" s="30">
        <f t="shared" si="66"/>
        <v>0</v>
      </c>
      <c r="AF19" s="30">
        <f t="shared" si="66"/>
        <v>0</v>
      </c>
      <c r="AG19" s="30">
        <f t="shared" si="66"/>
        <v>0</v>
      </c>
      <c r="AH19" s="30">
        <f t="shared" si="66"/>
        <v>0</v>
      </c>
      <c r="AI19" s="30">
        <f t="shared" si="66"/>
        <v>6742.47</v>
      </c>
      <c r="AJ19" s="30">
        <f t="shared" si="66"/>
        <v>0</v>
      </c>
      <c r="AK19" s="30">
        <f t="shared" si="66"/>
        <v>6742.47</v>
      </c>
      <c r="AL19" s="30">
        <f t="shared" si="64"/>
        <v>6742.47</v>
      </c>
      <c r="AM19" s="30">
        <f t="shared" si="64"/>
        <v>0</v>
      </c>
      <c r="AN19" s="30">
        <f t="shared" si="64"/>
        <v>6742.47</v>
      </c>
      <c r="AO19" s="9"/>
      <c r="AT19" s="12"/>
      <c r="AU19" s="12"/>
      <c r="AV19" s="32">
        <f t="shared" si="30"/>
        <v>0.71308895540067485</v>
      </c>
      <c r="AW19" s="32">
        <f t="shared" si="31"/>
        <v>0</v>
      </c>
      <c r="AX19" s="32">
        <f t="shared" si="32"/>
        <v>0.24994124454797598</v>
      </c>
      <c r="AY19" s="12"/>
      <c r="AZ19" s="12"/>
      <c r="BA19" s="30">
        <f t="shared" si="36"/>
        <v>9455.2999999999993</v>
      </c>
      <c r="BB19" s="30">
        <f t="shared" si="36"/>
        <v>17520.919999999998</v>
      </c>
      <c r="BC19" s="30">
        <f t="shared" si="36"/>
        <v>26976.219999999998</v>
      </c>
      <c r="BD19" s="71"/>
      <c r="BE19" s="30">
        <f>+K19+N19+Q19-AL19</f>
        <v>-6742.47</v>
      </c>
      <c r="BF19" s="30">
        <f>+L19+O19+R19-AM19</f>
        <v>0</v>
      </c>
      <c r="BG19" s="30">
        <f>+M19+P19+S19-AN19</f>
        <v>-6742.47</v>
      </c>
      <c r="BH19" s="72"/>
      <c r="BY19" s="1">
        <f t="shared" si="19"/>
        <v>0</v>
      </c>
      <c r="BZ19" s="1">
        <f t="shared" si="12"/>
        <v>0</v>
      </c>
      <c r="CA19" s="1">
        <f t="shared" si="13"/>
        <v>0</v>
      </c>
    </row>
    <row r="20" spans="1:79" ht="41.25" customHeight="1" x14ac:dyDescent="0.25">
      <c r="A20" s="4" t="s">
        <v>125</v>
      </c>
      <c r="B20" s="4"/>
      <c r="C20" s="183">
        <v>380661.14</v>
      </c>
      <c r="D20" s="183">
        <v>19257.150000000001</v>
      </c>
      <c r="E20" s="183">
        <f>+D20+C20</f>
        <v>399918.29000000004</v>
      </c>
      <c r="F20" s="18"/>
      <c r="G20" s="18"/>
      <c r="H20" s="18"/>
      <c r="I20" s="10"/>
      <c r="J20" s="10"/>
      <c r="K20" s="183"/>
      <c r="L20" s="183"/>
      <c r="M20" s="183">
        <f>+L20+K20</f>
        <v>0</v>
      </c>
      <c r="N20" s="183">
        <f>81154.73+86278.55</f>
        <v>167433.28</v>
      </c>
      <c r="O20" s="183"/>
      <c r="P20" s="183">
        <f>+O20+N20</f>
        <v>167433.28</v>
      </c>
      <c r="Q20" s="183"/>
      <c r="R20" s="183">
        <v>16753</v>
      </c>
      <c r="S20" s="183">
        <f>+R20+Q20</f>
        <v>16753</v>
      </c>
      <c r="T20" s="183"/>
      <c r="U20" s="183"/>
      <c r="V20" s="183"/>
      <c r="W20" s="183">
        <f t="shared" ref="W20:Y20" si="67">+T20+Q20+N20+K20</f>
        <v>167433.28</v>
      </c>
      <c r="X20" s="183">
        <f t="shared" si="67"/>
        <v>16753</v>
      </c>
      <c r="Y20" s="183">
        <f t="shared" si="67"/>
        <v>184186.28</v>
      </c>
      <c r="Z20" s="183"/>
      <c r="AA20" s="183"/>
      <c r="AB20" s="183">
        <f>+AA20+Z20</f>
        <v>0</v>
      </c>
      <c r="AC20" s="183">
        <f>81154.73+86278.55</f>
        <v>167433.28</v>
      </c>
      <c r="AD20" s="183"/>
      <c r="AE20" s="183">
        <f>+AD20+AC20</f>
        <v>167433.28</v>
      </c>
      <c r="AF20" s="183"/>
      <c r="AG20" s="183">
        <v>16753</v>
      </c>
      <c r="AH20" s="183">
        <f>+AG20+AF20</f>
        <v>16753</v>
      </c>
      <c r="AI20" s="183"/>
      <c r="AJ20" s="183"/>
      <c r="AK20" s="183"/>
      <c r="AL20" s="183">
        <f t="shared" ref="AL20:AN23" si="68">+AI20+AF20+AC20+Z20</f>
        <v>167433.28</v>
      </c>
      <c r="AM20" s="183">
        <f t="shared" si="68"/>
        <v>16753</v>
      </c>
      <c r="AN20" s="183">
        <f t="shared" si="68"/>
        <v>184186.28</v>
      </c>
      <c r="AO20" s="9"/>
      <c r="AT20" s="12"/>
      <c r="AU20" s="12"/>
      <c r="AV20" s="187">
        <f t="shared" si="30"/>
        <v>0.43984862757464549</v>
      </c>
      <c r="AW20" s="187">
        <f t="shared" si="31"/>
        <v>0.86996258532545045</v>
      </c>
      <c r="AX20" s="187">
        <f t="shared" si="32"/>
        <v>0.46055978084923294</v>
      </c>
      <c r="AY20" s="12"/>
      <c r="AZ20" s="12"/>
      <c r="BA20" s="103"/>
      <c r="BB20" s="103"/>
      <c r="BC20" s="103"/>
      <c r="BD20" s="71"/>
      <c r="BE20" s="103"/>
      <c r="BF20" s="103"/>
      <c r="BG20" s="103"/>
      <c r="BH20" s="71"/>
      <c r="BY20" s="1">
        <f t="shared" si="19"/>
        <v>0</v>
      </c>
      <c r="BZ20" s="1">
        <f t="shared" si="12"/>
        <v>0</v>
      </c>
      <c r="CA20" s="1">
        <f t="shared" si="13"/>
        <v>0</v>
      </c>
    </row>
    <row r="21" spans="1:79" ht="41.25" customHeight="1" x14ac:dyDescent="0.25">
      <c r="A21" s="4" t="s">
        <v>124</v>
      </c>
      <c r="B21" s="4" t="s">
        <v>124</v>
      </c>
      <c r="C21" s="184"/>
      <c r="D21" s="184"/>
      <c r="E21" s="184"/>
      <c r="F21" s="18"/>
      <c r="G21" s="18"/>
      <c r="H21" s="18"/>
      <c r="I21" s="10"/>
      <c r="J21" s="10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>
        <f t="shared" si="68"/>
        <v>0</v>
      </c>
      <c r="AM21" s="184">
        <f t="shared" si="68"/>
        <v>0</v>
      </c>
      <c r="AN21" s="184">
        <f t="shared" si="68"/>
        <v>0</v>
      </c>
      <c r="AO21" s="9"/>
      <c r="AT21" s="12"/>
      <c r="AU21" s="12"/>
      <c r="AV21" s="188" t="e">
        <f t="shared" si="30"/>
        <v>#DIV/0!</v>
      </c>
      <c r="AW21" s="188" t="e">
        <f t="shared" si="31"/>
        <v>#DIV/0!</v>
      </c>
      <c r="AX21" s="188" t="e">
        <f t="shared" si="32"/>
        <v>#DIV/0!</v>
      </c>
      <c r="AY21" s="12"/>
      <c r="AZ21" s="12"/>
      <c r="BA21" s="103"/>
      <c r="BB21" s="103"/>
      <c r="BC21" s="103"/>
      <c r="BD21" s="71"/>
      <c r="BE21" s="103"/>
      <c r="BF21" s="103"/>
      <c r="BG21" s="103"/>
      <c r="BH21" s="71"/>
      <c r="BY21" s="1">
        <f t="shared" si="19"/>
        <v>0</v>
      </c>
      <c r="BZ21" s="1">
        <f t="shared" si="12"/>
        <v>0</v>
      </c>
      <c r="CA21" s="1">
        <f t="shared" si="13"/>
        <v>0</v>
      </c>
    </row>
    <row r="22" spans="1:79" ht="19.5" customHeight="1" x14ac:dyDescent="0.25">
      <c r="A22" s="4" t="s">
        <v>122</v>
      </c>
      <c r="B22" s="4" t="s">
        <v>122</v>
      </c>
      <c r="C22" s="184"/>
      <c r="D22" s="184"/>
      <c r="E22" s="184"/>
      <c r="F22" s="18"/>
      <c r="G22" s="18"/>
      <c r="H22" s="18"/>
      <c r="I22" s="10"/>
      <c r="J22" s="10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>
        <f t="shared" si="68"/>
        <v>0</v>
      </c>
      <c r="AM22" s="184">
        <f t="shared" si="68"/>
        <v>0</v>
      </c>
      <c r="AN22" s="184">
        <f t="shared" si="68"/>
        <v>0</v>
      </c>
      <c r="AO22" s="9"/>
      <c r="AT22" s="12"/>
      <c r="AU22" s="12"/>
      <c r="AV22" s="188" t="e">
        <f t="shared" si="30"/>
        <v>#DIV/0!</v>
      </c>
      <c r="AW22" s="188" t="e">
        <f t="shared" si="31"/>
        <v>#DIV/0!</v>
      </c>
      <c r="AX22" s="188" t="e">
        <f t="shared" si="32"/>
        <v>#DIV/0!</v>
      </c>
      <c r="AY22" s="12"/>
      <c r="AZ22" s="12"/>
      <c r="BA22" s="104"/>
      <c r="BB22" s="104"/>
      <c r="BC22" s="104"/>
      <c r="BD22" s="71"/>
      <c r="BE22" s="104"/>
      <c r="BF22" s="104"/>
      <c r="BG22" s="104"/>
      <c r="BH22" s="71"/>
      <c r="BK22" s="43"/>
      <c r="BM22" s="43"/>
      <c r="BN22" s="43"/>
      <c r="BO22" s="43"/>
      <c r="BP22" s="43"/>
      <c r="BQ22" s="43"/>
      <c r="BY22" s="1">
        <f t="shared" si="19"/>
        <v>0</v>
      </c>
      <c r="BZ22" s="1">
        <f t="shared" si="12"/>
        <v>0</v>
      </c>
      <c r="CA22" s="1">
        <f t="shared" si="13"/>
        <v>0</v>
      </c>
    </row>
    <row r="23" spans="1:79" ht="33.75" customHeight="1" x14ac:dyDescent="0.25">
      <c r="A23" s="4" t="s">
        <v>123</v>
      </c>
      <c r="B23" s="4" t="s">
        <v>123</v>
      </c>
      <c r="C23" s="185"/>
      <c r="D23" s="185"/>
      <c r="E23" s="185"/>
      <c r="F23" s="18"/>
      <c r="G23" s="18"/>
      <c r="H23" s="18"/>
      <c r="I23" s="10"/>
      <c r="J23" s="10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>
        <f t="shared" si="68"/>
        <v>0</v>
      </c>
      <c r="AM23" s="185">
        <f t="shared" si="68"/>
        <v>0</v>
      </c>
      <c r="AN23" s="185">
        <f t="shared" si="68"/>
        <v>0</v>
      </c>
      <c r="AO23" s="9"/>
      <c r="AT23" s="12"/>
      <c r="AU23" s="12"/>
      <c r="AV23" s="189" t="e">
        <f t="shared" si="30"/>
        <v>#DIV/0!</v>
      </c>
      <c r="AW23" s="189" t="e">
        <f t="shared" si="31"/>
        <v>#DIV/0!</v>
      </c>
      <c r="AX23" s="189" t="e">
        <f t="shared" si="32"/>
        <v>#DIV/0!</v>
      </c>
      <c r="AY23" s="12"/>
      <c r="AZ23" s="12"/>
      <c r="BA23" s="105"/>
      <c r="BB23" s="105"/>
      <c r="BC23" s="105"/>
      <c r="BD23" s="71"/>
      <c r="BE23" s="105"/>
      <c r="BF23" s="105"/>
      <c r="BG23" s="105"/>
      <c r="BH23" s="71"/>
      <c r="BK23" s="43"/>
      <c r="BM23" s="43"/>
      <c r="BN23" s="43"/>
      <c r="BO23" s="43"/>
      <c r="BP23" s="43"/>
      <c r="BQ23" s="43"/>
      <c r="BY23" s="1">
        <f t="shared" si="19"/>
        <v>0</v>
      </c>
      <c r="BZ23" s="1">
        <f t="shared" si="12"/>
        <v>0</v>
      </c>
      <c r="CA23" s="1">
        <f t="shared" si="13"/>
        <v>0</v>
      </c>
    </row>
    <row r="24" spans="1:79" ht="24" x14ac:dyDescent="0.25">
      <c r="A24" s="29" t="s">
        <v>17</v>
      </c>
      <c r="B24" s="9"/>
      <c r="C24" s="30">
        <f>+C20</f>
        <v>380661.14</v>
      </c>
      <c r="D24" s="30">
        <f t="shared" ref="D24:AN24" si="69">+D20</f>
        <v>19257.150000000001</v>
      </c>
      <c r="E24" s="30">
        <f t="shared" si="69"/>
        <v>399918.29000000004</v>
      </c>
      <c r="F24" s="30">
        <f t="shared" si="69"/>
        <v>0</v>
      </c>
      <c r="G24" s="30">
        <f t="shared" si="69"/>
        <v>0</v>
      </c>
      <c r="H24" s="30">
        <f t="shared" si="69"/>
        <v>0</v>
      </c>
      <c r="I24" s="30">
        <f t="shared" si="69"/>
        <v>0</v>
      </c>
      <c r="J24" s="30">
        <f t="shared" si="69"/>
        <v>0</v>
      </c>
      <c r="K24" s="30">
        <f t="shared" si="69"/>
        <v>0</v>
      </c>
      <c r="L24" s="30">
        <f t="shared" si="69"/>
        <v>0</v>
      </c>
      <c r="M24" s="30">
        <f t="shared" si="69"/>
        <v>0</v>
      </c>
      <c r="N24" s="30">
        <f t="shared" si="69"/>
        <v>167433.28</v>
      </c>
      <c r="O24" s="30">
        <f t="shared" si="69"/>
        <v>0</v>
      </c>
      <c r="P24" s="30">
        <f t="shared" si="69"/>
        <v>167433.28</v>
      </c>
      <c r="Q24" s="30">
        <f t="shared" ref="Q24:S24" si="70">+Q20</f>
        <v>0</v>
      </c>
      <c r="R24" s="30">
        <f t="shared" si="70"/>
        <v>16753</v>
      </c>
      <c r="S24" s="30">
        <f t="shared" si="70"/>
        <v>16753</v>
      </c>
      <c r="T24" s="30">
        <f t="shared" si="69"/>
        <v>0</v>
      </c>
      <c r="U24" s="30">
        <f t="shared" si="69"/>
        <v>0</v>
      </c>
      <c r="V24" s="30">
        <f t="shared" si="69"/>
        <v>0</v>
      </c>
      <c r="W24" s="30">
        <f t="shared" ref="W24:Y24" si="71">+W20</f>
        <v>167433.28</v>
      </c>
      <c r="X24" s="30">
        <f t="shared" si="71"/>
        <v>16753</v>
      </c>
      <c r="Y24" s="30">
        <f t="shared" si="71"/>
        <v>184186.28</v>
      </c>
      <c r="Z24" s="30">
        <f t="shared" ref="Z24:AK24" si="72">+Z20</f>
        <v>0</v>
      </c>
      <c r="AA24" s="30">
        <f t="shared" si="72"/>
        <v>0</v>
      </c>
      <c r="AB24" s="30">
        <f t="shared" si="72"/>
        <v>0</v>
      </c>
      <c r="AC24" s="30">
        <f t="shared" si="72"/>
        <v>167433.28</v>
      </c>
      <c r="AD24" s="30">
        <f t="shared" si="72"/>
        <v>0</v>
      </c>
      <c r="AE24" s="30">
        <f t="shared" si="72"/>
        <v>167433.28</v>
      </c>
      <c r="AF24" s="30">
        <f t="shared" si="72"/>
        <v>0</v>
      </c>
      <c r="AG24" s="30">
        <f t="shared" si="72"/>
        <v>16753</v>
      </c>
      <c r="AH24" s="30">
        <f t="shared" si="72"/>
        <v>16753</v>
      </c>
      <c r="AI24" s="30">
        <f t="shared" si="72"/>
        <v>0</v>
      </c>
      <c r="AJ24" s="30">
        <f t="shared" si="72"/>
        <v>0</v>
      </c>
      <c r="AK24" s="30">
        <f t="shared" si="72"/>
        <v>0</v>
      </c>
      <c r="AL24" s="30">
        <f t="shared" si="69"/>
        <v>167433.28</v>
      </c>
      <c r="AM24" s="30">
        <f t="shared" si="69"/>
        <v>16753</v>
      </c>
      <c r="AN24" s="30">
        <f t="shared" si="69"/>
        <v>184186.28</v>
      </c>
      <c r="AO24" s="30">
        <f t="shared" ref="AO24:AT24" si="73">+AO21+AO22+AO23</f>
        <v>0</v>
      </c>
      <c r="AP24" s="30">
        <f t="shared" si="73"/>
        <v>0</v>
      </c>
      <c r="AQ24" s="30">
        <f t="shared" si="73"/>
        <v>0</v>
      </c>
      <c r="AR24" s="30">
        <f t="shared" si="73"/>
        <v>0</v>
      </c>
      <c r="AS24" s="30">
        <f t="shared" si="73"/>
        <v>0</v>
      </c>
      <c r="AT24" s="30">
        <f t="shared" si="73"/>
        <v>0</v>
      </c>
      <c r="AU24" s="12"/>
      <c r="AV24" s="32">
        <f t="shared" si="30"/>
        <v>0.43984862757464549</v>
      </c>
      <c r="AW24" s="32">
        <f t="shared" si="31"/>
        <v>0.86996258532545045</v>
      </c>
      <c r="AX24" s="32">
        <f t="shared" si="32"/>
        <v>0.46055978084923294</v>
      </c>
      <c r="AY24" s="12"/>
      <c r="AZ24" s="12"/>
      <c r="BA24" s="30">
        <f t="shared" ref="BA24:BC27" si="74">+C24-K24-N24-Q24</f>
        <v>213227.86000000002</v>
      </c>
      <c r="BB24" s="30">
        <f t="shared" si="74"/>
        <v>2504.1500000000015</v>
      </c>
      <c r="BC24" s="30">
        <f t="shared" si="74"/>
        <v>215732.01000000004</v>
      </c>
      <c r="BD24" s="71"/>
      <c r="BE24" s="30">
        <f t="shared" ref="BE24:BG27" si="75">+K24+N24+Q24-AL24</f>
        <v>0</v>
      </c>
      <c r="BF24" s="30">
        <f t="shared" si="75"/>
        <v>0</v>
      </c>
      <c r="BG24" s="30">
        <f t="shared" si="75"/>
        <v>0</v>
      </c>
      <c r="BH24" s="72"/>
      <c r="BK24" s="43"/>
      <c r="BM24" s="43"/>
      <c r="BN24" s="43"/>
      <c r="BO24" s="43"/>
      <c r="BP24" s="43"/>
      <c r="BQ24" s="43"/>
      <c r="BY24" s="1">
        <f t="shared" si="19"/>
        <v>0</v>
      </c>
      <c r="BZ24" s="1">
        <f t="shared" si="12"/>
        <v>0</v>
      </c>
      <c r="CA24" s="1">
        <f t="shared" si="13"/>
        <v>0</v>
      </c>
    </row>
    <row r="25" spans="1:79" s="7" customFormat="1" x14ac:dyDescent="0.25">
      <c r="A25" s="4" t="s">
        <v>110</v>
      </c>
      <c r="B25" s="9"/>
      <c r="C25" s="18">
        <v>20920.13</v>
      </c>
      <c r="D25" s="18">
        <v>11210.28</v>
      </c>
      <c r="E25" s="18">
        <f t="shared" ref="E25:E26" si="76">+D25+C25</f>
        <v>32130.410000000003</v>
      </c>
      <c r="F25" s="18"/>
      <c r="G25" s="18"/>
      <c r="H25" s="18"/>
      <c r="I25" s="10" t="e">
        <f>+C25-#REF!</f>
        <v>#REF!</v>
      </c>
      <c r="J25" s="10" t="e">
        <f>+D25-#REF!</f>
        <v>#REF!</v>
      </c>
      <c r="K25" s="18">
        <v>0</v>
      </c>
      <c r="L25" s="18">
        <v>0</v>
      </c>
      <c r="M25" s="18">
        <v>0</v>
      </c>
      <c r="N25" s="18"/>
      <c r="O25" s="18"/>
      <c r="P25" s="18">
        <f>+O25+N25</f>
        <v>0</v>
      </c>
      <c r="Q25" s="18"/>
      <c r="R25" s="18"/>
      <c r="S25" s="18">
        <f>++R25+Q25</f>
        <v>0</v>
      </c>
      <c r="T25" s="18"/>
      <c r="U25" s="18"/>
      <c r="V25" s="18"/>
      <c r="W25" s="18">
        <f t="shared" ref="W25:W26" si="77">+T25+Q25+N25+K25</f>
        <v>0</v>
      </c>
      <c r="X25" s="18">
        <f t="shared" ref="X25:X26" si="78">+U25+R25+O25+L25</f>
        <v>0</v>
      </c>
      <c r="Y25" s="18">
        <f t="shared" ref="Y25:Y26" si="79">+V25+S25+P25+M25</f>
        <v>0</v>
      </c>
      <c r="Z25" s="18">
        <v>0</v>
      </c>
      <c r="AA25" s="18">
        <v>0</v>
      </c>
      <c r="AB25" s="18">
        <v>0</v>
      </c>
      <c r="AC25" s="18"/>
      <c r="AD25" s="18"/>
      <c r="AE25" s="18">
        <f>+AD25+AC25</f>
        <v>0</v>
      </c>
      <c r="AF25" s="18"/>
      <c r="AG25" s="18"/>
      <c r="AH25" s="18">
        <f>++AG25+AF25</f>
        <v>0</v>
      </c>
      <c r="AI25" s="18"/>
      <c r="AJ25" s="18"/>
      <c r="AK25" s="18"/>
      <c r="AL25" s="18">
        <f t="shared" ref="AL25:AN26" si="80">+AI25+AF25+AC25+Z25</f>
        <v>0</v>
      </c>
      <c r="AM25" s="18">
        <f t="shared" si="80"/>
        <v>0</v>
      </c>
      <c r="AN25" s="18">
        <f t="shared" si="80"/>
        <v>0</v>
      </c>
      <c r="AO25" s="9"/>
      <c r="AR25" s="8"/>
      <c r="AS25" s="8"/>
      <c r="AT25" s="12"/>
      <c r="AU25" s="12"/>
      <c r="AV25" s="20">
        <f t="shared" si="30"/>
        <v>0</v>
      </c>
      <c r="AW25" s="20">
        <f t="shared" si="31"/>
        <v>0</v>
      </c>
      <c r="AX25" s="20">
        <f t="shared" si="32"/>
        <v>0</v>
      </c>
      <c r="AY25" s="12"/>
      <c r="AZ25" s="12"/>
      <c r="BA25" s="18">
        <f t="shared" si="74"/>
        <v>20920.13</v>
      </c>
      <c r="BB25" s="18">
        <f t="shared" si="74"/>
        <v>11210.28</v>
      </c>
      <c r="BC25" s="18">
        <f t="shared" si="74"/>
        <v>32130.410000000003</v>
      </c>
      <c r="BD25" s="71"/>
      <c r="BE25" s="18">
        <f t="shared" si="75"/>
        <v>0</v>
      </c>
      <c r="BF25" s="18">
        <f t="shared" si="75"/>
        <v>0</v>
      </c>
      <c r="BG25" s="18">
        <f t="shared" si="75"/>
        <v>0</v>
      </c>
      <c r="BH25" s="71"/>
      <c r="BS25" s="1"/>
      <c r="BT25" s="1"/>
      <c r="BU25" s="1"/>
      <c r="BV25" s="1"/>
      <c r="BW25" s="1"/>
      <c r="BY25" s="1">
        <f t="shared" si="19"/>
        <v>0</v>
      </c>
      <c r="BZ25" s="1">
        <f t="shared" si="12"/>
        <v>0</v>
      </c>
      <c r="CA25" s="1">
        <f t="shared" si="13"/>
        <v>0</v>
      </c>
    </row>
    <row r="26" spans="1:79" x14ac:dyDescent="0.25">
      <c r="A26" s="4" t="s">
        <v>111</v>
      </c>
      <c r="B26" s="9"/>
      <c r="C26" s="18">
        <v>3150</v>
      </c>
      <c r="D26" s="18">
        <v>1343.55</v>
      </c>
      <c r="E26" s="18">
        <f t="shared" si="76"/>
        <v>4493.55</v>
      </c>
      <c r="F26" s="18"/>
      <c r="G26" s="18"/>
      <c r="H26" s="18"/>
      <c r="I26" s="10" t="e">
        <f>+C26-#REF!</f>
        <v>#REF!</v>
      </c>
      <c r="J26" s="10" t="e">
        <f>+D26-#REF!</f>
        <v>#REF!</v>
      </c>
      <c r="K26" s="18">
        <v>0</v>
      </c>
      <c r="L26" s="18">
        <v>0</v>
      </c>
      <c r="M26" s="18">
        <v>0</v>
      </c>
      <c r="N26" s="18"/>
      <c r="O26" s="18"/>
      <c r="P26" s="18"/>
      <c r="Q26" s="18"/>
      <c r="R26" s="18"/>
      <c r="S26" s="18">
        <f>++R26+Q26</f>
        <v>0</v>
      </c>
      <c r="T26" s="18"/>
      <c r="U26" s="18"/>
      <c r="V26" s="18"/>
      <c r="W26" s="18">
        <f t="shared" si="77"/>
        <v>0</v>
      </c>
      <c r="X26" s="18">
        <f t="shared" si="78"/>
        <v>0</v>
      </c>
      <c r="Y26" s="18">
        <f t="shared" si="79"/>
        <v>0</v>
      </c>
      <c r="Z26" s="18">
        <v>0</v>
      </c>
      <c r="AA26" s="18">
        <v>0</v>
      </c>
      <c r="AB26" s="18">
        <v>0</v>
      </c>
      <c r="AC26" s="18"/>
      <c r="AD26" s="18"/>
      <c r="AE26" s="18"/>
      <c r="AF26" s="18"/>
      <c r="AG26" s="18"/>
      <c r="AH26" s="18">
        <f>++AG26+AF26</f>
        <v>0</v>
      </c>
      <c r="AI26" s="18"/>
      <c r="AJ26" s="18"/>
      <c r="AK26" s="18"/>
      <c r="AL26" s="18">
        <f t="shared" si="80"/>
        <v>0</v>
      </c>
      <c r="AM26" s="18">
        <f t="shared" si="80"/>
        <v>0</v>
      </c>
      <c r="AN26" s="18">
        <f t="shared" si="80"/>
        <v>0</v>
      </c>
      <c r="AO26" s="9"/>
      <c r="AT26" s="12"/>
      <c r="AU26" s="12"/>
      <c r="AV26" s="20">
        <f t="shared" si="30"/>
        <v>0</v>
      </c>
      <c r="AW26" s="20">
        <f t="shared" si="31"/>
        <v>0</v>
      </c>
      <c r="AX26" s="20">
        <f t="shared" si="32"/>
        <v>0</v>
      </c>
      <c r="AY26" s="12"/>
      <c r="AZ26" s="12"/>
      <c r="BA26" s="18">
        <f t="shared" si="74"/>
        <v>3150</v>
      </c>
      <c r="BB26" s="18">
        <f t="shared" si="74"/>
        <v>1343.55</v>
      </c>
      <c r="BC26" s="18">
        <f t="shared" si="74"/>
        <v>4493.55</v>
      </c>
      <c r="BD26" s="71"/>
      <c r="BE26" s="18">
        <f t="shared" si="75"/>
        <v>0</v>
      </c>
      <c r="BF26" s="18">
        <f t="shared" si="75"/>
        <v>0</v>
      </c>
      <c r="BG26" s="18">
        <f t="shared" si="75"/>
        <v>0</v>
      </c>
      <c r="BH26" s="71"/>
      <c r="BL26" s="21"/>
      <c r="BM26" s="21"/>
      <c r="BY26" s="1">
        <f t="shared" si="19"/>
        <v>0</v>
      </c>
      <c r="BZ26" s="1">
        <f t="shared" si="12"/>
        <v>0</v>
      </c>
      <c r="CA26" s="1">
        <f t="shared" si="13"/>
        <v>0</v>
      </c>
    </row>
    <row r="27" spans="1:79" x14ac:dyDescent="0.25">
      <c r="A27" s="29" t="s">
        <v>106</v>
      </c>
      <c r="B27" s="9"/>
      <c r="C27" s="30">
        <f>+C26+C25</f>
        <v>24070.13</v>
      </c>
      <c r="D27" s="30">
        <f t="shared" ref="D27:R27" si="81">+D26+D25</f>
        <v>12553.83</v>
      </c>
      <c r="E27" s="30">
        <f t="shared" si="81"/>
        <v>36623.960000000006</v>
      </c>
      <c r="F27" s="30">
        <f t="shared" si="81"/>
        <v>0</v>
      </c>
      <c r="G27" s="30">
        <f t="shared" si="81"/>
        <v>0</v>
      </c>
      <c r="H27" s="30">
        <f t="shared" si="81"/>
        <v>0</v>
      </c>
      <c r="I27" s="30" t="e">
        <f t="shared" si="81"/>
        <v>#REF!</v>
      </c>
      <c r="J27" s="30" t="e">
        <f t="shared" si="81"/>
        <v>#REF!</v>
      </c>
      <c r="K27" s="30">
        <f t="shared" si="81"/>
        <v>0</v>
      </c>
      <c r="L27" s="30">
        <f t="shared" si="81"/>
        <v>0</v>
      </c>
      <c r="M27" s="30">
        <f t="shared" si="81"/>
        <v>0</v>
      </c>
      <c r="N27" s="30">
        <f t="shared" si="81"/>
        <v>0</v>
      </c>
      <c r="O27" s="30">
        <f t="shared" si="81"/>
        <v>0</v>
      </c>
      <c r="P27" s="30">
        <f t="shared" si="81"/>
        <v>0</v>
      </c>
      <c r="Q27" s="30">
        <f t="shared" si="81"/>
        <v>0</v>
      </c>
      <c r="R27" s="30">
        <f t="shared" si="81"/>
        <v>0</v>
      </c>
      <c r="S27" s="30">
        <f>+S26+S25</f>
        <v>0</v>
      </c>
      <c r="T27" s="30">
        <f t="shared" ref="T27:Y27" si="82">+T26+T25</f>
        <v>0</v>
      </c>
      <c r="U27" s="30">
        <f t="shared" si="82"/>
        <v>0</v>
      </c>
      <c r="V27" s="30">
        <f t="shared" si="82"/>
        <v>0</v>
      </c>
      <c r="W27" s="30">
        <f t="shared" si="82"/>
        <v>0</v>
      </c>
      <c r="X27" s="30">
        <f t="shared" si="82"/>
        <v>0</v>
      </c>
      <c r="Y27" s="30">
        <f t="shared" si="82"/>
        <v>0</v>
      </c>
      <c r="Z27" s="30">
        <f t="shared" ref="Z27:AH27" si="83">+Z26+Z25</f>
        <v>0</v>
      </c>
      <c r="AA27" s="30">
        <f t="shared" si="83"/>
        <v>0</v>
      </c>
      <c r="AB27" s="30">
        <f t="shared" si="83"/>
        <v>0</v>
      </c>
      <c r="AC27" s="30">
        <f t="shared" si="83"/>
        <v>0</v>
      </c>
      <c r="AD27" s="30">
        <f t="shared" si="83"/>
        <v>0</v>
      </c>
      <c r="AE27" s="30">
        <f t="shared" si="83"/>
        <v>0</v>
      </c>
      <c r="AF27" s="30">
        <f t="shared" si="83"/>
        <v>0</v>
      </c>
      <c r="AG27" s="30">
        <f t="shared" si="83"/>
        <v>0</v>
      </c>
      <c r="AH27" s="30">
        <f t="shared" si="83"/>
        <v>0</v>
      </c>
      <c r="AI27" s="30"/>
      <c r="AJ27" s="30"/>
      <c r="AK27" s="30"/>
      <c r="AL27" s="30">
        <f t="shared" ref="AL27" si="84">+AL26+AL25</f>
        <v>0</v>
      </c>
      <c r="AM27" s="30">
        <f t="shared" ref="AM27" si="85">+AM26+AM25</f>
        <v>0</v>
      </c>
      <c r="AN27" s="30">
        <f t="shared" ref="AN27" si="86">+AN26+AN25</f>
        <v>0</v>
      </c>
      <c r="AO27" s="9"/>
      <c r="AT27" s="12"/>
      <c r="AU27" s="12"/>
      <c r="AV27" s="32">
        <f t="shared" si="30"/>
        <v>0</v>
      </c>
      <c r="AW27" s="32">
        <f t="shared" si="31"/>
        <v>0</v>
      </c>
      <c r="AX27" s="32">
        <f t="shared" si="32"/>
        <v>0</v>
      </c>
      <c r="AY27" s="12"/>
      <c r="AZ27" s="12"/>
      <c r="BA27" s="30">
        <f t="shared" si="74"/>
        <v>24070.13</v>
      </c>
      <c r="BB27" s="30">
        <f t="shared" si="74"/>
        <v>12553.83</v>
      </c>
      <c r="BC27" s="30">
        <f t="shared" si="74"/>
        <v>36623.960000000006</v>
      </c>
      <c r="BD27" s="71"/>
      <c r="BE27" s="30">
        <f t="shared" si="75"/>
        <v>0</v>
      </c>
      <c r="BF27" s="30">
        <f t="shared" si="75"/>
        <v>0</v>
      </c>
      <c r="BG27" s="30">
        <f t="shared" si="75"/>
        <v>0</v>
      </c>
      <c r="BH27" s="72"/>
      <c r="BK27" s="39"/>
      <c r="BL27" s="39"/>
      <c r="BM27" s="39"/>
      <c r="BN27" s="39"/>
      <c r="BO27" s="39"/>
      <c r="BP27" s="39"/>
      <c r="BQ27" s="39"/>
      <c r="BY27" s="1">
        <f t="shared" si="19"/>
        <v>0</v>
      </c>
      <c r="BZ27" s="1">
        <f t="shared" si="12"/>
        <v>0</v>
      </c>
      <c r="CA27" s="1">
        <f t="shared" si="13"/>
        <v>0</v>
      </c>
    </row>
    <row r="28" spans="1:79" x14ac:dyDescent="0.25">
      <c r="A28" s="45"/>
      <c r="B28" s="9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12"/>
      <c r="AV28" s="48"/>
      <c r="AW28" s="48"/>
      <c r="AX28" s="48"/>
      <c r="AY28" s="12"/>
      <c r="AZ28" s="12"/>
      <c r="BA28" s="46"/>
      <c r="BB28" s="46"/>
      <c r="BC28" s="46"/>
      <c r="BD28" s="71"/>
      <c r="BE28" s="46"/>
      <c r="BF28" s="46"/>
      <c r="BG28" s="46"/>
      <c r="BH28" s="46"/>
      <c r="BY28" s="1">
        <f t="shared" si="19"/>
        <v>0</v>
      </c>
      <c r="BZ28" s="1">
        <f t="shared" si="12"/>
        <v>0</v>
      </c>
      <c r="CA28" s="1">
        <f t="shared" si="13"/>
        <v>0</v>
      </c>
    </row>
    <row r="29" spans="1:79" x14ac:dyDescent="0.25">
      <c r="A29" s="29" t="s">
        <v>54</v>
      </c>
      <c r="B29" s="9"/>
      <c r="C29" s="30">
        <f>+C24+C19+C17+C13+C27</f>
        <v>1004973.2700000001</v>
      </c>
      <c r="D29" s="30">
        <f t="shared" ref="D29:AN29" si="87">+D24+D19+D17+D13+D27</f>
        <v>234919.93000000002</v>
      </c>
      <c r="E29" s="30">
        <f t="shared" si="87"/>
        <v>1239893.2</v>
      </c>
      <c r="F29" s="30">
        <f t="shared" si="87"/>
        <v>112268517</v>
      </c>
      <c r="G29" s="30">
        <f t="shared" si="87"/>
        <v>28067130</v>
      </c>
      <c r="H29" s="30">
        <f t="shared" si="87"/>
        <v>140335647</v>
      </c>
      <c r="I29" s="30" t="e">
        <f t="shared" si="87"/>
        <v>#REF!</v>
      </c>
      <c r="J29" s="30" t="e">
        <f t="shared" si="87"/>
        <v>#REF!</v>
      </c>
      <c r="K29" s="116">
        <f t="shared" si="87"/>
        <v>0</v>
      </c>
      <c r="L29" s="116">
        <f t="shared" si="87"/>
        <v>0</v>
      </c>
      <c r="M29" s="116">
        <f t="shared" si="87"/>
        <v>0</v>
      </c>
      <c r="N29" s="116">
        <f t="shared" si="87"/>
        <v>386633.69</v>
      </c>
      <c r="O29" s="116">
        <f t="shared" si="87"/>
        <v>34511.42</v>
      </c>
      <c r="P29" s="116">
        <f t="shared" si="87"/>
        <v>421145.11</v>
      </c>
      <c r="Q29" s="116">
        <f t="shared" si="87"/>
        <v>0</v>
      </c>
      <c r="R29" s="116">
        <f t="shared" si="87"/>
        <v>76753</v>
      </c>
      <c r="S29" s="116">
        <f t="shared" si="87"/>
        <v>76753</v>
      </c>
      <c r="T29" s="116">
        <f t="shared" si="87"/>
        <v>6742.4699999999993</v>
      </c>
      <c r="U29" s="116">
        <f t="shared" si="87"/>
        <v>0</v>
      </c>
      <c r="V29" s="116">
        <f t="shared" si="87"/>
        <v>6742.4699999999993</v>
      </c>
      <c r="W29" s="116">
        <f t="shared" ref="W29:Y29" si="88">+W24+W19+W17+W13+W27</f>
        <v>393376.16000000003</v>
      </c>
      <c r="X29" s="116">
        <f t="shared" si="88"/>
        <v>111264.41999999998</v>
      </c>
      <c r="Y29" s="116">
        <f t="shared" si="88"/>
        <v>504640.57999999996</v>
      </c>
      <c r="Z29" s="117">
        <f t="shared" ref="Z29:AK29" si="89">+Z24+Z19+Z17+Z13+Z27</f>
        <v>0</v>
      </c>
      <c r="AA29" s="117">
        <f t="shared" si="89"/>
        <v>0</v>
      </c>
      <c r="AB29" s="117">
        <f t="shared" si="89"/>
        <v>0</v>
      </c>
      <c r="AC29" s="117">
        <f t="shared" si="89"/>
        <v>386633.69</v>
      </c>
      <c r="AD29" s="117">
        <f t="shared" si="89"/>
        <v>34511.42</v>
      </c>
      <c r="AE29" s="117">
        <f t="shared" si="89"/>
        <v>421145.11</v>
      </c>
      <c r="AF29" s="117">
        <f t="shared" si="89"/>
        <v>0</v>
      </c>
      <c r="AG29" s="117">
        <f t="shared" si="89"/>
        <v>76753</v>
      </c>
      <c r="AH29" s="117">
        <f t="shared" si="89"/>
        <v>76753</v>
      </c>
      <c r="AI29" s="117">
        <f t="shared" si="89"/>
        <v>6742.47</v>
      </c>
      <c r="AJ29" s="117">
        <f t="shared" si="89"/>
        <v>0</v>
      </c>
      <c r="AK29" s="117">
        <f t="shared" si="89"/>
        <v>6742.47</v>
      </c>
      <c r="AL29" s="117">
        <f t="shared" si="87"/>
        <v>393376.16000000003</v>
      </c>
      <c r="AM29" s="117">
        <f t="shared" si="87"/>
        <v>111264.41999999998</v>
      </c>
      <c r="AN29" s="117">
        <f t="shared" si="87"/>
        <v>504640.57999999996</v>
      </c>
      <c r="AO29" s="30" t="e">
        <f>+AO24+AO19+AO17+#REF!+AO13</f>
        <v>#REF!</v>
      </c>
      <c r="AP29" s="30" t="e">
        <f>+AP24+AP19+AP17+#REF!+AP13</f>
        <v>#REF!</v>
      </c>
      <c r="AQ29" s="30" t="e">
        <f>+AQ24+AQ19+AQ17+#REF!+AQ13</f>
        <v>#REF!</v>
      </c>
      <c r="AR29" s="30" t="e">
        <f>+AR24+AR19+AR17+#REF!+AR13</f>
        <v>#REF!</v>
      </c>
      <c r="AS29" s="30" t="e">
        <f>+AS24+AS19+AS17+#REF!+AS13</f>
        <v>#REF!</v>
      </c>
      <c r="AT29" s="30" t="e">
        <f>+AT24+AT19+AT17+#REF!+AT13</f>
        <v>#REF!</v>
      </c>
      <c r="AU29" s="12"/>
      <c r="AV29" s="32">
        <f>+AL29/C29</f>
        <v>0.39142947553221985</v>
      </c>
      <c r="AW29" s="32">
        <f>+AM29/D29</f>
        <v>0.47362699282261822</v>
      </c>
      <c r="AX29" s="32">
        <f>+AN29/E29</f>
        <v>0.40700326447471441</v>
      </c>
      <c r="AY29" s="12"/>
      <c r="AZ29" s="12"/>
      <c r="BA29" s="30">
        <f>+C29-K29-N29-Q29</f>
        <v>618339.58000000007</v>
      </c>
      <c r="BB29" s="30">
        <f>+D29-L29-O29-R29</f>
        <v>123655.51000000001</v>
      </c>
      <c r="BC29" s="30">
        <f>+E29-M29-P29-S29</f>
        <v>741995.09</v>
      </c>
      <c r="BD29" s="71"/>
      <c r="BE29" s="30">
        <f>+K29+N29+Q29-AL29</f>
        <v>-6742.4700000000303</v>
      </c>
      <c r="BF29" s="30">
        <f>+L29+O29+R29-AM29</f>
        <v>0</v>
      </c>
      <c r="BG29" s="30">
        <f>+M29+P29+S29-AN29</f>
        <v>-6742.4699999999721</v>
      </c>
      <c r="BH29" s="72"/>
      <c r="BK29" s="7">
        <f>+AN29-'[1]ACUMULADO INVERSION 2016'!$Z$112</f>
        <v>504640.57999999996</v>
      </c>
      <c r="BY29" s="1">
        <f t="shared" si="19"/>
        <v>0</v>
      </c>
      <c r="BZ29" s="1">
        <f t="shared" si="12"/>
        <v>0</v>
      </c>
      <c r="CA29" s="1">
        <f t="shared" si="13"/>
        <v>0</v>
      </c>
    </row>
    <row r="30" spans="1:79" x14ac:dyDescent="0.25">
      <c r="A30" s="45"/>
      <c r="B30" s="9"/>
      <c r="C30" s="46"/>
      <c r="D30" s="46"/>
      <c r="E30" s="46"/>
      <c r="F30" s="46"/>
      <c r="G30" s="46"/>
      <c r="H30" s="46"/>
      <c r="I30" s="10" t="e">
        <f>+C30-#REF!</f>
        <v>#REF!</v>
      </c>
      <c r="J30" s="10" t="e">
        <f>+D30-#REF!</f>
        <v>#REF!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9"/>
      <c r="AT30" s="12"/>
      <c r="AU30" s="12"/>
      <c r="AV30" s="48"/>
      <c r="AW30" s="48"/>
      <c r="AX30" s="48"/>
      <c r="AY30" s="12"/>
      <c r="AZ30" s="12"/>
      <c r="BA30" s="46"/>
      <c r="BB30" s="46"/>
      <c r="BC30" s="46"/>
      <c r="BD30" s="46"/>
      <c r="BE30" s="46"/>
      <c r="BF30" s="46"/>
      <c r="BG30" s="46"/>
      <c r="BH30" s="46"/>
      <c r="BY30" s="1">
        <f t="shared" si="19"/>
        <v>0</v>
      </c>
      <c r="BZ30" s="1">
        <f t="shared" si="12"/>
        <v>0</v>
      </c>
      <c r="CA30" s="1">
        <f t="shared" si="13"/>
        <v>0</v>
      </c>
    </row>
    <row r="31" spans="1:79" s="7" customFormat="1" x14ac:dyDescent="0.25">
      <c r="B31" s="9"/>
      <c r="C31" s="46"/>
      <c r="D31" s="46"/>
      <c r="E31" s="46"/>
      <c r="F31" s="46"/>
      <c r="G31" s="46"/>
      <c r="H31" s="46"/>
      <c r="I31" s="10" t="e">
        <f>+C31-#REF!</f>
        <v>#REF!</v>
      </c>
      <c r="J31" s="10" t="e">
        <f>+D31-#REF!</f>
        <v>#REF!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9"/>
      <c r="AR31" s="8"/>
      <c r="AS31" s="8"/>
      <c r="AT31" s="12"/>
      <c r="AU31" s="12"/>
      <c r="AV31" s="48"/>
      <c r="AW31" s="48"/>
      <c r="AX31" s="48"/>
      <c r="AY31" s="12"/>
      <c r="AZ31" s="12"/>
      <c r="BA31" s="46"/>
      <c r="BB31" s="46"/>
      <c r="BC31" s="46"/>
      <c r="BD31" s="46"/>
      <c r="BE31" s="46"/>
      <c r="BF31" s="46"/>
      <c r="BG31" s="46"/>
      <c r="BH31" s="46"/>
      <c r="BS31" s="1"/>
      <c r="BT31" s="1"/>
      <c r="BU31" s="1"/>
      <c r="BV31" s="1"/>
      <c r="BW31" s="1"/>
      <c r="BY31" s="1">
        <f t="shared" si="19"/>
        <v>0</v>
      </c>
      <c r="BZ31" s="1">
        <f t="shared" si="12"/>
        <v>0</v>
      </c>
      <c r="CA31" s="1">
        <f t="shared" si="13"/>
        <v>0</v>
      </c>
    </row>
    <row r="32" spans="1:79" s="7" customFormat="1" x14ac:dyDescent="0.25">
      <c r="A32" s="45"/>
      <c r="B32" s="9"/>
      <c r="C32" s="46"/>
      <c r="D32" s="46"/>
      <c r="E32" s="46"/>
      <c r="F32" s="46"/>
      <c r="G32" s="46"/>
      <c r="H32" s="46"/>
      <c r="I32" s="10" t="e">
        <f>+C32-#REF!</f>
        <v>#REF!</v>
      </c>
      <c r="J32" s="10" t="e">
        <f>+D32-#REF!</f>
        <v>#REF!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9"/>
      <c r="AR32" s="8"/>
      <c r="AS32" s="8"/>
      <c r="AT32" s="12"/>
      <c r="AU32" s="12"/>
      <c r="AV32" s="48"/>
      <c r="AW32" s="48"/>
      <c r="AX32" s="48"/>
      <c r="AY32" s="12"/>
      <c r="AZ32" s="12"/>
      <c r="BA32" s="46"/>
      <c r="BB32" s="46"/>
      <c r="BC32" s="46"/>
      <c r="BD32" s="46"/>
      <c r="BE32" s="46"/>
      <c r="BF32" s="46"/>
      <c r="BG32" s="46"/>
      <c r="BH32" s="46"/>
      <c r="BS32" s="1"/>
      <c r="BT32" s="1"/>
      <c r="BU32" s="1"/>
      <c r="BV32" s="1"/>
      <c r="BW32" s="1"/>
      <c r="BY32" s="1">
        <f t="shared" si="19"/>
        <v>0</v>
      </c>
      <c r="BZ32" s="1">
        <f t="shared" si="12"/>
        <v>0</v>
      </c>
      <c r="CA32" s="1">
        <f t="shared" si="13"/>
        <v>0</v>
      </c>
    </row>
    <row r="33" spans="1:79" s="7" customFormat="1" ht="15" customHeight="1" x14ac:dyDescent="0.25">
      <c r="A33" s="13" t="s">
        <v>99</v>
      </c>
      <c r="B33" s="9"/>
      <c r="C33" s="165" t="str">
        <f>+C5</f>
        <v>GENERADO 31 DE AGOSTO 2017</v>
      </c>
      <c r="D33" s="165"/>
      <c r="E33" s="165"/>
      <c r="F33" s="73"/>
      <c r="G33" s="73"/>
      <c r="H33" s="73"/>
      <c r="I33" s="10"/>
      <c r="J33" s="10"/>
      <c r="K33" s="165" t="str">
        <f>+K5</f>
        <v>AMPLIACIÓN DE METAS</v>
      </c>
      <c r="L33" s="165"/>
      <c r="M33" s="165"/>
      <c r="N33" s="165" t="str">
        <f>+N5</f>
        <v>HONORARIOS FIDUCIARIOS</v>
      </c>
      <c r="O33" s="165"/>
      <c r="P33" s="165"/>
      <c r="Q33" s="165" t="str">
        <f>+Q5</f>
        <v>AUDITORÍAS</v>
      </c>
      <c r="R33" s="165"/>
      <c r="S33" s="165"/>
      <c r="T33" s="81"/>
      <c r="U33" s="81"/>
      <c r="V33" s="81"/>
      <c r="W33" s="114"/>
      <c r="X33" s="114"/>
      <c r="Y33" s="114"/>
      <c r="Z33" s="173" t="str">
        <f>+Z5</f>
        <v>AMPLIACIÓN DE METAS</v>
      </c>
      <c r="AA33" s="174"/>
      <c r="AB33" s="175"/>
      <c r="AC33" s="165" t="str">
        <f>+AC5</f>
        <v>HONORARIOS FIDUCIARIOS</v>
      </c>
      <c r="AD33" s="165"/>
      <c r="AE33" s="165"/>
      <c r="AF33" s="165" t="str">
        <f>+AF5</f>
        <v>AUDITORÍAS</v>
      </c>
      <c r="AG33" s="165"/>
      <c r="AH33" s="165"/>
      <c r="AI33" s="106"/>
      <c r="AJ33" s="106"/>
      <c r="AK33" s="106"/>
      <c r="AL33" s="165" t="s">
        <v>3</v>
      </c>
      <c r="AM33" s="165"/>
      <c r="AN33" s="165"/>
      <c r="AO33" s="9"/>
      <c r="AR33" s="8"/>
      <c r="AS33" s="8"/>
      <c r="AT33" s="12"/>
      <c r="AU33" s="12"/>
      <c r="AV33" s="186" t="str">
        <f>+AV5</f>
        <v>Porcentaje de Avance Pagado vs Generado</v>
      </c>
      <c r="AW33" s="186"/>
      <c r="AX33" s="186"/>
      <c r="AY33" s="12"/>
      <c r="AZ33" s="12"/>
      <c r="BA33" s="165" t="str">
        <f>+BA5</f>
        <v>Saldo a Reintegrar</v>
      </c>
      <c r="BB33" s="165"/>
      <c r="BC33" s="165"/>
      <c r="BD33" s="69"/>
      <c r="BE33" s="165" t="str">
        <f>+BE5</f>
        <v>Monto a Pagar</v>
      </c>
      <c r="BF33" s="165"/>
      <c r="BG33" s="165"/>
      <c r="BH33" s="69"/>
      <c r="BK33" s="7">
        <f>+AN29-'[1]ACUMULADO INVERSION 2016'!$Z$112</f>
        <v>504640.57999999996</v>
      </c>
      <c r="BS33" s="1"/>
      <c r="BT33" s="1"/>
      <c r="BU33" s="1"/>
      <c r="BV33" s="1"/>
      <c r="BW33" s="1"/>
      <c r="BY33" s="1" t="e">
        <f t="shared" si="19"/>
        <v>#VALUE!</v>
      </c>
      <c r="BZ33" s="1">
        <f t="shared" si="12"/>
        <v>0</v>
      </c>
      <c r="CA33" s="1">
        <f t="shared" si="13"/>
        <v>0</v>
      </c>
    </row>
    <row r="34" spans="1:79" s="7" customFormat="1" x14ac:dyDescent="0.25">
      <c r="A34" s="14"/>
      <c r="B34" s="9"/>
      <c r="C34" s="15" t="s">
        <v>4</v>
      </c>
      <c r="D34" s="15" t="s">
        <v>5</v>
      </c>
      <c r="E34" s="15" t="s">
        <v>6</v>
      </c>
      <c r="F34" s="15"/>
      <c r="G34" s="15"/>
      <c r="H34" s="15"/>
      <c r="I34" s="10"/>
      <c r="J34" s="10"/>
      <c r="K34" s="15" t="s">
        <v>4</v>
      </c>
      <c r="L34" s="15" t="s">
        <v>5</v>
      </c>
      <c r="M34" s="15" t="s">
        <v>6</v>
      </c>
      <c r="N34" s="15" t="s">
        <v>4</v>
      </c>
      <c r="O34" s="15" t="s">
        <v>5</v>
      </c>
      <c r="P34" s="15" t="s">
        <v>6</v>
      </c>
      <c r="Q34" s="15" t="s">
        <v>4</v>
      </c>
      <c r="R34" s="15" t="s">
        <v>5</v>
      </c>
      <c r="S34" s="15" t="s">
        <v>6</v>
      </c>
      <c r="T34" s="15"/>
      <c r="U34" s="15"/>
      <c r="V34" s="15"/>
      <c r="W34" s="15"/>
      <c r="X34" s="15"/>
      <c r="Y34" s="15"/>
      <c r="Z34" s="15" t="s">
        <v>4</v>
      </c>
      <c r="AA34" s="15" t="s">
        <v>5</v>
      </c>
      <c r="AB34" s="15" t="s">
        <v>6</v>
      </c>
      <c r="AC34" s="15" t="s">
        <v>4</v>
      </c>
      <c r="AD34" s="15" t="s">
        <v>5</v>
      </c>
      <c r="AE34" s="15" t="s">
        <v>6</v>
      </c>
      <c r="AF34" s="15" t="s">
        <v>4</v>
      </c>
      <c r="AG34" s="15" t="s">
        <v>5</v>
      </c>
      <c r="AH34" s="15" t="s">
        <v>6</v>
      </c>
      <c r="AI34" s="15"/>
      <c r="AJ34" s="15"/>
      <c r="AK34" s="15"/>
      <c r="AL34" s="15" t="s">
        <v>4</v>
      </c>
      <c r="AM34" s="15" t="s">
        <v>5</v>
      </c>
      <c r="AN34" s="15" t="s">
        <v>6</v>
      </c>
      <c r="AO34" s="9"/>
      <c r="AR34" s="8"/>
      <c r="AS34" s="8"/>
      <c r="AT34" s="12"/>
      <c r="AU34" s="12"/>
      <c r="AV34" s="17" t="s">
        <v>4</v>
      </c>
      <c r="AW34" s="17" t="s">
        <v>5</v>
      </c>
      <c r="AX34" s="17" t="s">
        <v>6</v>
      </c>
      <c r="AY34" s="12"/>
      <c r="AZ34" s="12"/>
      <c r="BA34" s="15" t="s">
        <v>4</v>
      </c>
      <c r="BB34" s="15" t="s">
        <v>5</v>
      </c>
      <c r="BC34" s="15" t="s">
        <v>6</v>
      </c>
      <c r="BD34" s="70"/>
      <c r="BE34" s="15" t="s">
        <v>4</v>
      </c>
      <c r="BF34" s="15" t="s">
        <v>5</v>
      </c>
      <c r="BG34" s="15" t="s">
        <v>6</v>
      </c>
      <c r="BH34" s="70"/>
      <c r="BS34" s="1"/>
      <c r="BT34" s="1"/>
      <c r="BU34" s="1"/>
      <c r="BV34" s="1"/>
      <c r="BW34" s="1"/>
      <c r="BY34" s="1" t="e">
        <f t="shared" si="19"/>
        <v>#VALUE!</v>
      </c>
      <c r="BZ34" s="1" t="e">
        <f t="shared" si="12"/>
        <v>#VALUE!</v>
      </c>
      <c r="CA34" s="1" t="e">
        <f t="shared" si="13"/>
        <v>#VALUE!</v>
      </c>
    </row>
    <row r="35" spans="1:79" s="7" customFormat="1" x14ac:dyDescent="0.25">
      <c r="A35" s="4" t="s">
        <v>107</v>
      </c>
      <c r="B35" s="9"/>
      <c r="C35" s="18">
        <v>228381.5</v>
      </c>
      <c r="D35" s="18"/>
      <c r="E35" s="18">
        <f t="shared" ref="E35:E37" si="90">+D35+C35</f>
        <v>228381.5</v>
      </c>
      <c r="F35" s="18"/>
      <c r="G35" s="18"/>
      <c r="H35" s="18"/>
      <c r="I35" s="10" t="e">
        <f>+C35-#REF!</f>
        <v>#REF!</v>
      </c>
      <c r="J35" s="10" t="e">
        <f>+D35-#REF!</f>
        <v>#REF!</v>
      </c>
      <c r="K35" s="18">
        <v>85000</v>
      </c>
      <c r="L35" s="18"/>
      <c r="M35" s="18">
        <f>+L35+K35</f>
        <v>85000</v>
      </c>
      <c r="N35" s="18">
        <v>81154.73</v>
      </c>
      <c r="O35" s="18"/>
      <c r="P35" s="18">
        <f t="shared" ref="P35:P37" si="91">+O35+N35</f>
        <v>81154.73</v>
      </c>
      <c r="Q35" s="18"/>
      <c r="R35" s="18"/>
      <c r="S35" s="18">
        <f t="shared" ref="S35:S37" si="92">++R35+Q35</f>
        <v>0</v>
      </c>
      <c r="T35" s="18"/>
      <c r="U35" s="18"/>
      <c r="V35" s="18"/>
      <c r="W35" s="18">
        <f t="shared" ref="W35:W37" si="93">+T35+Q35+N35+K35</f>
        <v>166154.72999999998</v>
      </c>
      <c r="X35" s="18">
        <f t="shared" ref="X35:X37" si="94">+U35+R35+O35+L35</f>
        <v>0</v>
      </c>
      <c r="Y35" s="18">
        <f t="shared" ref="Y35:Y37" si="95">+V35+S35+P35+M35</f>
        <v>166154.72999999998</v>
      </c>
      <c r="Z35" s="18"/>
      <c r="AA35" s="18"/>
      <c r="AB35" s="18">
        <f>+AA35+Z35</f>
        <v>0</v>
      </c>
      <c r="AC35" s="18">
        <v>81154.73</v>
      </c>
      <c r="AD35" s="18"/>
      <c r="AE35" s="18">
        <f t="shared" ref="AE35:AE37" si="96">+AD35+AC35</f>
        <v>81154.73</v>
      </c>
      <c r="AF35" s="18"/>
      <c r="AG35" s="18"/>
      <c r="AH35" s="18">
        <f t="shared" ref="AH35:AH37" si="97">++AG35+AF35</f>
        <v>0</v>
      </c>
      <c r="AI35" s="18"/>
      <c r="AJ35" s="18"/>
      <c r="AK35" s="18"/>
      <c r="AL35" s="18">
        <f t="shared" ref="AL35:AN37" si="98">+AI35+AF35+AC35+Z35</f>
        <v>81154.73</v>
      </c>
      <c r="AM35" s="18">
        <f t="shared" si="98"/>
        <v>0</v>
      </c>
      <c r="AN35" s="18">
        <f t="shared" si="98"/>
        <v>81154.73</v>
      </c>
      <c r="AO35" s="9"/>
      <c r="AR35" s="8"/>
      <c r="AS35" s="8"/>
      <c r="AT35" s="12"/>
      <c r="AU35" s="12"/>
      <c r="AV35" s="20">
        <f t="shared" ref="AV35:AX38" si="99">+AL35/C35</f>
        <v>0.35534721507652761</v>
      </c>
      <c r="AW35" s="20" t="e">
        <f t="shared" si="99"/>
        <v>#DIV/0!</v>
      </c>
      <c r="AX35" s="20">
        <f t="shared" si="99"/>
        <v>0.35534721507652761</v>
      </c>
      <c r="AY35" s="12"/>
      <c r="AZ35" s="12"/>
      <c r="BA35" s="18">
        <f t="shared" ref="BA35:BC37" si="100">+C35-K35-N35-Q35-T35</f>
        <v>62226.770000000004</v>
      </c>
      <c r="BB35" s="18">
        <f t="shared" si="100"/>
        <v>0</v>
      </c>
      <c r="BC35" s="18">
        <f t="shared" si="100"/>
        <v>62226.770000000004</v>
      </c>
      <c r="BD35" s="71"/>
      <c r="BE35" s="18">
        <f t="shared" ref="BE35:BG38" si="101">+K35+N35+Q35-AL35</f>
        <v>84999.999999999985</v>
      </c>
      <c r="BF35" s="18">
        <f t="shared" si="101"/>
        <v>0</v>
      </c>
      <c r="BG35" s="18">
        <f t="shared" si="101"/>
        <v>84999.999999999985</v>
      </c>
      <c r="BH35" s="71"/>
      <c r="BS35" s="1"/>
      <c r="BT35" s="1"/>
      <c r="BU35" s="1"/>
      <c r="BV35" s="1"/>
      <c r="BW35" s="1"/>
      <c r="BY35" s="1">
        <f t="shared" si="19"/>
        <v>84999.999999999985</v>
      </c>
      <c r="BZ35" s="1">
        <f t="shared" si="12"/>
        <v>0</v>
      </c>
      <c r="CA35" s="1">
        <f t="shared" si="13"/>
        <v>84999.999999999985</v>
      </c>
    </row>
    <row r="36" spans="1:79" s="7" customFormat="1" x14ac:dyDescent="0.25">
      <c r="A36" s="4" t="s">
        <v>130</v>
      </c>
      <c r="B36" s="9"/>
      <c r="C36" s="18">
        <v>25730.76</v>
      </c>
      <c r="D36" s="18"/>
      <c r="E36" s="18">
        <f t="shared" si="90"/>
        <v>25730.76</v>
      </c>
      <c r="F36" s="18"/>
      <c r="G36" s="18"/>
      <c r="H36" s="18"/>
      <c r="I36" s="10"/>
      <c r="J36" s="10"/>
      <c r="K36" s="18"/>
      <c r="L36" s="18"/>
      <c r="M36" s="18">
        <f t="shared" ref="M36:M37" si="102">+L36+K36</f>
        <v>0</v>
      </c>
      <c r="N36" s="18"/>
      <c r="O36" s="18"/>
      <c r="P36" s="18">
        <f t="shared" si="91"/>
        <v>0</v>
      </c>
      <c r="Q36" s="18"/>
      <c r="R36" s="18"/>
      <c r="S36" s="18">
        <f t="shared" si="92"/>
        <v>0</v>
      </c>
      <c r="T36" s="18"/>
      <c r="U36" s="18"/>
      <c r="V36" s="18"/>
      <c r="W36" s="18">
        <f t="shared" si="93"/>
        <v>0</v>
      </c>
      <c r="X36" s="18">
        <f t="shared" si="94"/>
        <v>0</v>
      </c>
      <c r="Y36" s="18">
        <f t="shared" si="95"/>
        <v>0</v>
      </c>
      <c r="Z36" s="18"/>
      <c r="AA36" s="18"/>
      <c r="AB36" s="18">
        <f t="shared" ref="AB36:AB37" si="103">+AA36+Z36</f>
        <v>0</v>
      </c>
      <c r="AC36" s="18"/>
      <c r="AD36" s="18"/>
      <c r="AE36" s="18">
        <f t="shared" si="96"/>
        <v>0</v>
      </c>
      <c r="AF36" s="18"/>
      <c r="AG36" s="18"/>
      <c r="AH36" s="18">
        <f t="shared" si="97"/>
        <v>0</v>
      </c>
      <c r="AI36" s="18"/>
      <c r="AJ36" s="18"/>
      <c r="AK36" s="18"/>
      <c r="AL36" s="18">
        <f t="shared" si="98"/>
        <v>0</v>
      </c>
      <c r="AM36" s="18">
        <f t="shared" si="98"/>
        <v>0</v>
      </c>
      <c r="AN36" s="18">
        <f t="shared" si="98"/>
        <v>0</v>
      </c>
      <c r="AO36" s="9"/>
      <c r="AR36" s="8"/>
      <c r="AS36" s="8"/>
      <c r="AT36" s="12"/>
      <c r="AU36" s="12"/>
      <c r="AV36" s="20">
        <f t="shared" si="99"/>
        <v>0</v>
      </c>
      <c r="AW36" s="20" t="e">
        <f t="shared" si="99"/>
        <v>#DIV/0!</v>
      </c>
      <c r="AX36" s="20">
        <f t="shared" si="99"/>
        <v>0</v>
      </c>
      <c r="AY36" s="12"/>
      <c r="AZ36" s="12"/>
      <c r="BA36" s="18">
        <f t="shared" si="100"/>
        <v>25730.76</v>
      </c>
      <c r="BB36" s="18">
        <f t="shared" si="100"/>
        <v>0</v>
      </c>
      <c r="BC36" s="18">
        <f t="shared" si="100"/>
        <v>25730.76</v>
      </c>
      <c r="BD36" s="71"/>
      <c r="BE36" s="18">
        <f t="shared" si="101"/>
        <v>0</v>
      </c>
      <c r="BF36" s="18">
        <f t="shared" si="101"/>
        <v>0</v>
      </c>
      <c r="BG36" s="18">
        <f t="shared" si="101"/>
        <v>0</v>
      </c>
      <c r="BH36" s="71"/>
      <c r="BS36" s="1"/>
      <c r="BT36" s="1"/>
      <c r="BU36" s="1"/>
      <c r="BV36" s="1"/>
      <c r="BW36" s="1"/>
      <c r="BY36" s="1">
        <f t="shared" si="19"/>
        <v>0</v>
      </c>
      <c r="BZ36" s="1">
        <f t="shared" si="12"/>
        <v>0</v>
      </c>
      <c r="CA36" s="1">
        <f t="shared" si="13"/>
        <v>0</v>
      </c>
    </row>
    <row r="37" spans="1:79" s="7" customFormat="1" x14ac:dyDescent="0.25">
      <c r="A37" s="4" t="s">
        <v>108</v>
      </c>
      <c r="B37" s="9"/>
      <c r="C37" s="18">
        <v>103896.49</v>
      </c>
      <c r="D37" s="18"/>
      <c r="E37" s="18">
        <f t="shared" si="90"/>
        <v>103896.49</v>
      </c>
      <c r="F37" s="18"/>
      <c r="G37" s="18"/>
      <c r="H37" s="18"/>
      <c r="I37" s="10"/>
      <c r="J37" s="10"/>
      <c r="K37" s="18"/>
      <c r="L37" s="18"/>
      <c r="M37" s="18">
        <f t="shared" si="102"/>
        <v>0</v>
      </c>
      <c r="N37" s="18"/>
      <c r="O37" s="18"/>
      <c r="P37" s="18">
        <f t="shared" si="91"/>
        <v>0</v>
      </c>
      <c r="Q37" s="18"/>
      <c r="R37" s="18"/>
      <c r="S37" s="18">
        <f t="shared" si="92"/>
        <v>0</v>
      </c>
      <c r="T37" s="18"/>
      <c r="U37" s="18"/>
      <c r="V37" s="18"/>
      <c r="W37" s="18">
        <f t="shared" si="93"/>
        <v>0</v>
      </c>
      <c r="X37" s="18">
        <f t="shared" si="94"/>
        <v>0</v>
      </c>
      <c r="Y37" s="18">
        <f t="shared" si="95"/>
        <v>0</v>
      </c>
      <c r="Z37" s="18"/>
      <c r="AA37" s="18"/>
      <c r="AB37" s="18">
        <f t="shared" si="103"/>
        <v>0</v>
      </c>
      <c r="AC37" s="18"/>
      <c r="AD37" s="18"/>
      <c r="AE37" s="18">
        <f t="shared" si="96"/>
        <v>0</v>
      </c>
      <c r="AF37" s="18"/>
      <c r="AG37" s="18"/>
      <c r="AH37" s="18">
        <f t="shared" si="97"/>
        <v>0</v>
      </c>
      <c r="AI37" s="18"/>
      <c r="AJ37" s="18"/>
      <c r="AK37" s="18"/>
      <c r="AL37" s="18">
        <f t="shared" si="98"/>
        <v>0</v>
      </c>
      <c r="AM37" s="18">
        <f t="shared" si="98"/>
        <v>0</v>
      </c>
      <c r="AN37" s="18">
        <f t="shared" si="98"/>
        <v>0</v>
      </c>
      <c r="AO37" s="9"/>
      <c r="AR37" s="8"/>
      <c r="AS37" s="8"/>
      <c r="AT37" s="12"/>
      <c r="AU37" s="12"/>
      <c r="AV37" s="20">
        <f t="shared" si="99"/>
        <v>0</v>
      </c>
      <c r="AW37" s="20" t="e">
        <f t="shared" si="99"/>
        <v>#DIV/0!</v>
      </c>
      <c r="AX37" s="20">
        <f t="shared" si="99"/>
        <v>0</v>
      </c>
      <c r="AY37" s="12"/>
      <c r="AZ37" s="12"/>
      <c r="BA37" s="18">
        <f t="shared" si="100"/>
        <v>103896.49</v>
      </c>
      <c r="BB37" s="18">
        <f t="shared" si="100"/>
        <v>0</v>
      </c>
      <c r="BC37" s="18">
        <f t="shared" si="100"/>
        <v>103896.49</v>
      </c>
      <c r="BD37" s="71"/>
      <c r="BE37" s="18">
        <f t="shared" si="101"/>
        <v>0</v>
      </c>
      <c r="BF37" s="18">
        <f t="shared" si="101"/>
        <v>0</v>
      </c>
      <c r="BG37" s="18">
        <f t="shared" si="101"/>
        <v>0</v>
      </c>
      <c r="BH37" s="71"/>
      <c r="BS37" s="1"/>
      <c r="BT37" s="1"/>
      <c r="BU37" s="1"/>
      <c r="BV37" s="1"/>
      <c r="BW37" s="1"/>
      <c r="BY37" s="1">
        <f t="shared" si="19"/>
        <v>0</v>
      </c>
      <c r="BZ37" s="1">
        <f t="shared" si="12"/>
        <v>0</v>
      </c>
      <c r="CA37" s="1">
        <f t="shared" si="13"/>
        <v>0</v>
      </c>
    </row>
    <row r="38" spans="1:79" s="7" customFormat="1" x14ac:dyDescent="0.25">
      <c r="A38" s="29" t="s">
        <v>76</v>
      </c>
      <c r="B38" s="9"/>
      <c r="C38" s="30">
        <f>SUM(C35:C37)</f>
        <v>358008.75</v>
      </c>
      <c r="D38" s="30">
        <f t="shared" ref="D38:AN38" si="104">SUM(D35:D37)</f>
        <v>0</v>
      </c>
      <c r="E38" s="30">
        <f t="shared" si="104"/>
        <v>358008.75</v>
      </c>
      <c r="F38" s="30">
        <f t="shared" si="104"/>
        <v>0</v>
      </c>
      <c r="G38" s="30">
        <f t="shared" si="104"/>
        <v>0</v>
      </c>
      <c r="H38" s="30">
        <f t="shared" si="104"/>
        <v>0</v>
      </c>
      <c r="I38" s="30" t="e">
        <f t="shared" si="104"/>
        <v>#REF!</v>
      </c>
      <c r="J38" s="30" t="e">
        <f t="shared" si="104"/>
        <v>#REF!</v>
      </c>
      <c r="K38" s="30">
        <f t="shared" si="104"/>
        <v>85000</v>
      </c>
      <c r="L38" s="30">
        <f t="shared" si="104"/>
        <v>0</v>
      </c>
      <c r="M38" s="30">
        <f t="shared" si="104"/>
        <v>85000</v>
      </c>
      <c r="N38" s="30">
        <f t="shared" si="104"/>
        <v>81154.73</v>
      </c>
      <c r="O38" s="30">
        <f t="shared" si="104"/>
        <v>0</v>
      </c>
      <c r="P38" s="30">
        <f t="shared" si="104"/>
        <v>81154.73</v>
      </c>
      <c r="Q38" s="30">
        <f t="shared" si="104"/>
        <v>0</v>
      </c>
      <c r="R38" s="30">
        <f t="shared" si="104"/>
        <v>0</v>
      </c>
      <c r="S38" s="30">
        <f t="shared" si="104"/>
        <v>0</v>
      </c>
      <c r="T38" s="30">
        <f t="shared" si="104"/>
        <v>0</v>
      </c>
      <c r="U38" s="30">
        <f t="shared" si="104"/>
        <v>0</v>
      </c>
      <c r="V38" s="30">
        <f t="shared" si="104"/>
        <v>0</v>
      </c>
      <c r="W38" s="30">
        <f t="shared" ref="W38:Y38" si="105">SUM(W35:W37)</f>
        <v>166154.72999999998</v>
      </c>
      <c r="X38" s="30">
        <f t="shared" si="105"/>
        <v>0</v>
      </c>
      <c r="Y38" s="30">
        <f t="shared" si="105"/>
        <v>166154.72999999998</v>
      </c>
      <c r="Z38" s="30">
        <f t="shared" ref="Z38:AK38" si="106">SUM(Z35:Z37)</f>
        <v>0</v>
      </c>
      <c r="AA38" s="30">
        <f t="shared" si="106"/>
        <v>0</v>
      </c>
      <c r="AB38" s="30">
        <f t="shared" si="106"/>
        <v>0</v>
      </c>
      <c r="AC38" s="30">
        <f t="shared" si="106"/>
        <v>81154.73</v>
      </c>
      <c r="AD38" s="30">
        <f t="shared" si="106"/>
        <v>0</v>
      </c>
      <c r="AE38" s="30">
        <f t="shared" si="106"/>
        <v>81154.73</v>
      </c>
      <c r="AF38" s="30">
        <f t="shared" si="106"/>
        <v>0</v>
      </c>
      <c r="AG38" s="30">
        <f t="shared" si="106"/>
        <v>0</v>
      </c>
      <c r="AH38" s="30">
        <f t="shared" si="106"/>
        <v>0</v>
      </c>
      <c r="AI38" s="30">
        <f t="shared" si="106"/>
        <v>0</v>
      </c>
      <c r="AJ38" s="30">
        <f t="shared" si="106"/>
        <v>0</v>
      </c>
      <c r="AK38" s="30">
        <f t="shared" si="106"/>
        <v>0</v>
      </c>
      <c r="AL38" s="30">
        <f t="shared" si="104"/>
        <v>81154.73</v>
      </c>
      <c r="AM38" s="30">
        <f t="shared" si="104"/>
        <v>0</v>
      </c>
      <c r="AN38" s="30">
        <f t="shared" si="104"/>
        <v>81154.73</v>
      </c>
      <c r="AO38" s="9"/>
      <c r="AR38" s="8"/>
      <c r="AS38" s="8"/>
      <c r="AT38" s="12"/>
      <c r="AU38" s="12"/>
      <c r="AV38" s="32">
        <f t="shared" si="99"/>
        <v>0.22668364949180711</v>
      </c>
      <c r="AW38" s="32" t="e">
        <f t="shared" si="99"/>
        <v>#DIV/0!</v>
      </c>
      <c r="AX38" s="32">
        <f t="shared" si="99"/>
        <v>0.22668364949180711</v>
      </c>
      <c r="AY38" s="12"/>
      <c r="AZ38" s="12"/>
      <c r="BA38" s="30">
        <f>+C38-K38-N38-Q38</f>
        <v>191854.02000000002</v>
      </c>
      <c r="BB38" s="30">
        <f>+D38-L38-O38-R38</f>
        <v>0</v>
      </c>
      <c r="BC38" s="30">
        <f>+E38-M38-P38-S38</f>
        <v>191854.02000000002</v>
      </c>
      <c r="BD38" s="71"/>
      <c r="BE38" s="30">
        <f t="shared" si="101"/>
        <v>84999.999999999985</v>
      </c>
      <c r="BF38" s="30">
        <f t="shared" si="101"/>
        <v>0</v>
      </c>
      <c r="BG38" s="30">
        <f t="shared" si="101"/>
        <v>84999.999999999985</v>
      </c>
      <c r="BH38" s="72"/>
      <c r="BS38" s="1"/>
      <c r="BT38" s="1"/>
      <c r="BU38" s="1"/>
      <c r="BV38" s="1"/>
      <c r="BW38" s="1"/>
      <c r="BY38" s="1">
        <f t="shared" si="19"/>
        <v>84999.999999999985</v>
      </c>
      <c r="BZ38" s="1">
        <f t="shared" si="12"/>
        <v>0</v>
      </c>
      <c r="CA38" s="1">
        <f t="shared" si="13"/>
        <v>84999.999999999985</v>
      </c>
    </row>
    <row r="39" spans="1:79" s="7" customFormat="1" x14ac:dyDescent="0.25">
      <c r="C39" s="21"/>
      <c r="D39" s="21"/>
      <c r="E39" s="21"/>
      <c r="F39" s="21"/>
      <c r="G39" s="21"/>
      <c r="H39" s="21"/>
      <c r="I39" s="10" t="e">
        <f>+C39-#REF!</f>
        <v>#REF!</v>
      </c>
      <c r="J39" s="10" t="e">
        <f>+D39-#REF!</f>
        <v>#REF!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9"/>
      <c r="AR39" s="8"/>
      <c r="AS39" s="8"/>
      <c r="AT39" s="12"/>
      <c r="AU39" s="12"/>
      <c r="AV39" s="50"/>
      <c r="AW39" s="50"/>
      <c r="AX39" s="50"/>
      <c r="AY39" s="12"/>
      <c r="AZ39" s="12"/>
      <c r="BA39" s="21"/>
      <c r="BB39" s="21"/>
      <c r="BC39" s="21"/>
      <c r="BD39" s="21"/>
      <c r="BE39" s="21"/>
      <c r="BF39" s="21"/>
      <c r="BG39" s="21"/>
      <c r="BH39" s="21"/>
      <c r="BS39" s="1"/>
      <c r="BT39" s="1"/>
      <c r="BU39" s="1"/>
      <c r="BV39" s="1"/>
      <c r="BW39" s="1"/>
      <c r="BY39" s="1">
        <f t="shared" si="19"/>
        <v>0</v>
      </c>
      <c r="BZ39" s="1">
        <f t="shared" si="12"/>
        <v>0</v>
      </c>
      <c r="CA39" s="1">
        <f t="shared" si="13"/>
        <v>0</v>
      </c>
    </row>
    <row r="40" spans="1:79" s="7" customFormat="1" ht="15" hidden="1" customHeight="1" x14ac:dyDescent="0.25">
      <c r="A40" s="13" t="s">
        <v>98</v>
      </c>
      <c r="B40" s="9"/>
      <c r="C40" s="165" t="str">
        <f>+C33</f>
        <v>GENERADO 31 DE AGOSTO 2017</v>
      </c>
      <c r="D40" s="165"/>
      <c r="E40" s="165"/>
      <c r="F40" s="73"/>
      <c r="G40" s="73"/>
      <c r="H40" s="73"/>
      <c r="I40" s="10"/>
      <c r="J40" s="10"/>
      <c r="K40" s="165" t="str">
        <f>+K33</f>
        <v>AMPLIACIÓN DE METAS</v>
      </c>
      <c r="L40" s="165"/>
      <c r="M40" s="165"/>
      <c r="N40" s="165" t="str">
        <f t="shared" ref="N40" si="107">+N33</f>
        <v>HONORARIOS FIDUCIARIOS</v>
      </c>
      <c r="O40" s="165"/>
      <c r="P40" s="165"/>
      <c r="Q40" s="165" t="str">
        <f t="shared" ref="Q40" si="108">+Q33</f>
        <v>AUDITORÍAS</v>
      </c>
      <c r="R40" s="165"/>
      <c r="S40" s="165"/>
      <c r="T40" s="81"/>
      <c r="U40" s="81"/>
      <c r="V40" s="81"/>
      <c r="W40" s="114"/>
      <c r="X40" s="114"/>
      <c r="Y40" s="114"/>
      <c r="Z40" s="173" t="str">
        <f>+Z33</f>
        <v>AMPLIACIÓN DE METAS</v>
      </c>
      <c r="AA40" s="174"/>
      <c r="AB40" s="175"/>
      <c r="AC40" s="165" t="str">
        <f t="shared" ref="AC40" si="109">+AC33</f>
        <v>HONORARIOS FIDUCIARIOS</v>
      </c>
      <c r="AD40" s="165"/>
      <c r="AE40" s="165"/>
      <c r="AF40" s="165" t="str">
        <f t="shared" ref="AF40" si="110">+AF33</f>
        <v>AUDITORÍAS</v>
      </c>
      <c r="AG40" s="165"/>
      <c r="AH40" s="165"/>
      <c r="AI40" s="106"/>
      <c r="AJ40" s="106"/>
      <c r="AK40" s="106"/>
      <c r="AL40" s="165" t="s">
        <v>3</v>
      </c>
      <c r="AM40" s="165"/>
      <c r="AN40" s="165"/>
      <c r="AO40" s="9"/>
      <c r="AR40" s="8"/>
      <c r="AS40" s="8"/>
      <c r="AT40" s="12"/>
      <c r="AU40" s="12"/>
      <c r="AV40" s="186" t="str">
        <f>+AV33</f>
        <v>Porcentaje de Avance Pagado vs Generado</v>
      </c>
      <c r="AW40" s="186"/>
      <c r="AX40" s="186"/>
      <c r="AY40" s="12"/>
      <c r="AZ40" s="12"/>
      <c r="BA40" s="165" t="str">
        <f>+BA33</f>
        <v>Saldo a Reintegrar</v>
      </c>
      <c r="BB40" s="165"/>
      <c r="BC40" s="165"/>
      <c r="BD40" s="69"/>
      <c r="BE40" s="165" t="str">
        <f>+BE33</f>
        <v>Monto a Pagar</v>
      </c>
      <c r="BF40" s="165"/>
      <c r="BG40" s="165"/>
      <c r="BH40" s="69"/>
      <c r="BK40" s="7" t="e">
        <f>+#REF!-'[1]ACUMULADO INVERSION 2016'!$Z$112</f>
        <v>#REF!</v>
      </c>
      <c r="BS40" s="1"/>
      <c r="BT40" s="1"/>
      <c r="BU40" s="1"/>
      <c r="BV40" s="1"/>
      <c r="BW40" s="1"/>
      <c r="BY40" s="1" t="e">
        <f t="shared" si="19"/>
        <v>#VALUE!</v>
      </c>
      <c r="BZ40" s="1">
        <f t="shared" si="12"/>
        <v>0</v>
      </c>
      <c r="CA40" s="1">
        <f t="shared" si="13"/>
        <v>0</v>
      </c>
    </row>
    <row r="41" spans="1:79" s="7" customFormat="1" ht="15" hidden="1" customHeight="1" x14ac:dyDescent="0.25">
      <c r="A41" s="14"/>
      <c r="B41" s="9"/>
      <c r="C41" s="15" t="s">
        <v>4</v>
      </c>
      <c r="D41" s="15" t="s">
        <v>5</v>
      </c>
      <c r="E41" s="15" t="s">
        <v>6</v>
      </c>
      <c r="F41" s="15"/>
      <c r="G41" s="15"/>
      <c r="H41" s="15"/>
      <c r="I41" s="10"/>
      <c r="J41" s="10"/>
      <c r="K41" s="15" t="s">
        <v>4</v>
      </c>
      <c r="L41" s="15" t="s">
        <v>5</v>
      </c>
      <c r="M41" s="15" t="s">
        <v>6</v>
      </c>
      <c r="N41" s="15" t="s">
        <v>4</v>
      </c>
      <c r="O41" s="15" t="s">
        <v>5</v>
      </c>
      <c r="P41" s="15" t="s">
        <v>6</v>
      </c>
      <c r="Q41" s="15" t="s">
        <v>4</v>
      </c>
      <c r="R41" s="15" t="s">
        <v>5</v>
      </c>
      <c r="S41" s="15" t="s">
        <v>6</v>
      </c>
      <c r="T41" s="15"/>
      <c r="U41" s="15"/>
      <c r="V41" s="15"/>
      <c r="W41" s="15"/>
      <c r="X41" s="15"/>
      <c r="Y41" s="15"/>
      <c r="Z41" s="15" t="s">
        <v>4</v>
      </c>
      <c r="AA41" s="15" t="s">
        <v>5</v>
      </c>
      <c r="AB41" s="15" t="s">
        <v>6</v>
      </c>
      <c r="AC41" s="15" t="s">
        <v>4</v>
      </c>
      <c r="AD41" s="15" t="s">
        <v>5</v>
      </c>
      <c r="AE41" s="15" t="s">
        <v>6</v>
      </c>
      <c r="AF41" s="15" t="s">
        <v>4</v>
      </c>
      <c r="AG41" s="15" t="s">
        <v>5</v>
      </c>
      <c r="AH41" s="15" t="s">
        <v>6</v>
      </c>
      <c r="AI41" s="15"/>
      <c r="AJ41" s="15"/>
      <c r="AK41" s="15"/>
      <c r="AL41" s="15" t="s">
        <v>4</v>
      </c>
      <c r="AM41" s="15" t="s">
        <v>5</v>
      </c>
      <c r="AN41" s="15" t="s">
        <v>6</v>
      </c>
      <c r="AO41" s="9"/>
      <c r="AR41" s="8"/>
      <c r="AS41" s="8"/>
      <c r="AT41" s="12"/>
      <c r="AU41" s="12"/>
      <c r="AV41" s="17" t="s">
        <v>4</v>
      </c>
      <c r="AW41" s="17" t="s">
        <v>5</v>
      </c>
      <c r="AX41" s="17" t="s">
        <v>6</v>
      </c>
      <c r="AY41" s="12"/>
      <c r="AZ41" s="12"/>
      <c r="BA41" s="15" t="s">
        <v>4</v>
      </c>
      <c r="BB41" s="15" t="s">
        <v>5</v>
      </c>
      <c r="BC41" s="15" t="s">
        <v>6</v>
      </c>
      <c r="BD41" s="70"/>
      <c r="BE41" s="15" t="s">
        <v>4</v>
      </c>
      <c r="BF41" s="15" t="s">
        <v>5</v>
      </c>
      <c r="BG41" s="15" t="s">
        <v>6</v>
      </c>
      <c r="BH41" s="70"/>
      <c r="BS41" s="1"/>
      <c r="BT41" s="1"/>
      <c r="BU41" s="1"/>
      <c r="BV41" s="1"/>
      <c r="BW41" s="1"/>
      <c r="BY41" s="1" t="e">
        <f t="shared" si="19"/>
        <v>#VALUE!</v>
      </c>
      <c r="BZ41" s="1" t="e">
        <f t="shared" si="12"/>
        <v>#VALUE!</v>
      </c>
      <c r="CA41" s="1" t="e">
        <f t="shared" si="13"/>
        <v>#VALUE!</v>
      </c>
    </row>
    <row r="42" spans="1:79" s="7" customFormat="1" ht="15" hidden="1" customHeight="1" x14ac:dyDescent="0.25">
      <c r="A42" s="4" t="s">
        <v>97</v>
      </c>
      <c r="B42" s="9"/>
      <c r="C42" s="18"/>
      <c r="D42" s="18"/>
      <c r="E42" s="18">
        <f t="shared" ref="E42" si="111">+D42+C42</f>
        <v>0</v>
      </c>
      <c r="F42" s="18"/>
      <c r="G42" s="18"/>
      <c r="H42" s="18"/>
      <c r="I42" s="10" t="e">
        <f>+C42-#REF!</f>
        <v>#REF!</v>
      </c>
      <c r="J42" s="10" t="e">
        <f>+D42-#REF!</f>
        <v>#REF!</v>
      </c>
      <c r="K42" s="18">
        <v>0</v>
      </c>
      <c r="L42" s="18">
        <v>0</v>
      </c>
      <c r="M42" s="18">
        <f t="shared" ref="M42" si="112">+L42+K42</f>
        <v>0</v>
      </c>
      <c r="N42" s="18">
        <f t="shared" ref="N42" si="113">+M42+L42</f>
        <v>0</v>
      </c>
      <c r="O42" s="18">
        <f t="shared" ref="O42" si="114">+N42+M42</f>
        <v>0</v>
      </c>
      <c r="P42" s="18">
        <f t="shared" ref="P42" si="115">+O42+N42</f>
        <v>0</v>
      </c>
      <c r="Q42" s="18">
        <f t="shared" ref="Q42" si="116">+P42+O42</f>
        <v>0</v>
      </c>
      <c r="R42" s="18">
        <f t="shared" ref="R42" si="117">+Q42+P42</f>
        <v>0</v>
      </c>
      <c r="S42" s="18">
        <f>++R42+Q42</f>
        <v>0</v>
      </c>
      <c r="T42" s="18"/>
      <c r="U42" s="18"/>
      <c r="V42" s="18"/>
      <c r="W42" s="18"/>
      <c r="X42" s="18"/>
      <c r="Y42" s="18"/>
      <c r="Z42" s="18">
        <v>0</v>
      </c>
      <c r="AA42" s="18">
        <v>0</v>
      </c>
      <c r="AB42" s="18">
        <f t="shared" ref="AB42" si="118">+AA42+Z42</f>
        <v>0</v>
      </c>
      <c r="AC42" s="18">
        <f>+AB42+AA42</f>
        <v>0</v>
      </c>
      <c r="AD42" s="18">
        <f>+AC42+AB42</f>
        <v>0</v>
      </c>
      <c r="AE42" s="18">
        <f t="shared" ref="AE42" si="119">+AD42+AC42</f>
        <v>0</v>
      </c>
      <c r="AF42" s="18">
        <f t="shared" ref="AF42" si="120">+AE42+AD42</f>
        <v>0</v>
      </c>
      <c r="AG42" s="18">
        <f t="shared" ref="AG42" si="121">+AF42+AE42</f>
        <v>0</v>
      </c>
      <c r="AH42" s="18">
        <f>++AG42+AF42</f>
        <v>0</v>
      </c>
      <c r="AI42" s="18"/>
      <c r="AJ42" s="18"/>
      <c r="AK42" s="18"/>
      <c r="AL42" s="18">
        <v>0</v>
      </c>
      <c r="AM42" s="18">
        <v>0</v>
      </c>
      <c r="AN42" s="18">
        <f t="shared" ref="AN42" si="122">+AM42+AL42</f>
        <v>0</v>
      </c>
      <c r="AO42" s="9"/>
      <c r="AR42" s="8"/>
      <c r="AS42" s="8"/>
      <c r="AT42" s="12"/>
      <c r="AU42" s="12"/>
      <c r="AV42" s="20"/>
      <c r="AW42" s="20"/>
      <c r="AX42" s="20"/>
      <c r="AY42" s="12"/>
      <c r="AZ42" s="12"/>
      <c r="BA42" s="18">
        <f>+C42-K42</f>
        <v>0</v>
      </c>
      <c r="BB42" s="18">
        <f>+D42-L42</f>
        <v>0</v>
      </c>
      <c r="BC42" s="18">
        <f>+E42-M42-P42-S42</f>
        <v>0</v>
      </c>
      <c r="BD42" s="71"/>
      <c r="BE42" s="18">
        <f>+K42+N42+Q42-AL42</f>
        <v>0</v>
      </c>
      <c r="BF42" s="18">
        <f>+L42+O42+R42-AM42</f>
        <v>0</v>
      </c>
      <c r="BG42" s="18">
        <f>+M42+P42+S42-AN42</f>
        <v>0</v>
      </c>
      <c r="BH42" s="71"/>
      <c r="BS42" s="1"/>
      <c r="BT42" s="1"/>
      <c r="BU42" s="1"/>
      <c r="BV42" s="1"/>
      <c r="BW42" s="1"/>
      <c r="BY42" s="1">
        <f t="shared" si="19"/>
        <v>0</v>
      </c>
      <c r="BZ42" s="1">
        <f t="shared" si="12"/>
        <v>0</v>
      </c>
      <c r="CA42" s="1">
        <f t="shared" si="13"/>
        <v>0</v>
      </c>
    </row>
    <row r="43" spans="1:79" s="7" customFormat="1" ht="15" hidden="1" customHeight="1" x14ac:dyDescent="0.25">
      <c r="C43" s="21"/>
      <c r="D43" s="21"/>
      <c r="E43" s="21"/>
      <c r="F43" s="21"/>
      <c r="G43" s="21"/>
      <c r="H43" s="21"/>
      <c r="I43" s="10"/>
      <c r="J43" s="1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9"/>
      <c r="AR43" s="8"/>
      <c r="AS43" s="8"/>
      <c r="AT43" s="12"/>
      <c r="AU43" s="12"/>
      <c r="AV43" s="50"/>
      <c r="AW43" s="50"/>
      <c r="AX43" s="50"/>
      <c r="AY43" s="12"/>
      <c r="AZ43" s="12"/>
      <c r="BA43" s="21"/>
      <c r="BB43" s="21"/>
      <c r="BC43" s="21"/>
      <c r="BD43" s="21"/>
      <c r="BE43" s="21"/>
      <c r="BF43" s="21"/>
      <c r="BG43" s="21"/>
      <c r="BH43" s="21"/>
      <c r="BS43" s="1"/>
      <c r="BT43" s="1"/>
      <c r="BU43" s="1"/>
      <c r="BV43" s="1"/>
      <c r="BW43" s="1"/>
      <c r="BY43" s="1">
        <f t="shared" si="19"/>
        <v>0</v>
      </c>
      <c r="BZ43" s="1">
        <f t="shared" si="12"/>
        <v>0</v>
      </c>
      <c r="CA43" s="1">
        <f t="shared" si="13"/>
        <v>0</v>
      </c>
    </row>
    <row r="44" spans="1:79" s="21" customFormat="1" ht="15" hidden="1" customHeight="1" x14ac:dyDescent="0.25">
      <c r="A44" s="7"/>
      <c r="B44" s="7"/>
      <c r="I44" s="10" t="e">
        <f>+C44-#REF!</f>
        <v>#REF!</v>
      </c>
      <c r="J44" s="10" t="e">
        <f>+D44-#REF!</f>
        <v>#REF!</v>
      </c>
      <c r="AO44" s="9"/>
      <c r="AP44" s="7"/>
      <c r="AQ44" s="7"/>
      <c r="AR44" s="8"/>
      <c r="AS44" s="8"/>
      <c r="AT44" s="12"/>
      <c r="AU44" s="12"/>
      <c r="AV44" s="50"/>
      <c r="AW44" s="50"/>
      <c r="AX44" s="50"/>
      <c r="AY44" s="12"/>
      <c r="AZ44" s="12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1"/>
      <c r="BT44" s="1"/>
      <c r="BU44" s="1"/>
      <c r="BV44" s="1"/>
      <c r="BW44" s="1"/>
      <c r="BY44" s="1">
        <f t="shared" si="19"/>
        <v>0</v>
      </c>
      <c r="BZ44" s="1">
        <f t="shared" si="12"/>
        <v>0</v>
      </c>
      <c r="CA44" s="1">
        <f t="shared" si="13"/>
        <v>0</v>
      </c>
    </row>
    <row r="45" spans="1:79" s="21" customFormat="1" ht="15" hidden="1" customHeight="1" x14ac:dyDescent="0.25">
      <c r="A45" s="7"/>
      <c r="B45" s="7"/>
      <c r="C45" s="21">
        <v>62320000</v>
      </c>
      <c r="D45" s="21">
        <v>31160000</v>
      </c>
      <c r="I45" s="10" t="e">
        <f>+C45-#REF!</f>
        <v>#REF!</v>
      </c>
      <c r="J45" s="10" t="e">
        <f>+D45-#REF!</f>
        <v>#REF!</v>
      </c>
      <c r="AO45" s="9"/>
      <c r="AP45" s="7"/>
      <c r="AQ45" s="7"/>
      <c r="AR45" s="8"/>
      <c r="AS45" s="8"/>
      <c r="AT45" s="12"/>
      <c r="AU45" s="12"/>
      <c r="AV45" s="50"/>
      <c r="AW45" s="50"/>
      <c r="AX45" s="50"/>
      <c r="AY45" s="12"/>
      <c r="AZ45" s="12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1"/>
      <c r="BT45" s="1"/>
      <c r="BU45" s="1"/>
      <c r="BV45" s="1"/>
      <c r="BW45" s="1"/>
      <c r="BY45" s="1">
        <f t="shared" si="19"/>
        <v>0</v>
      </c>
      <c r="BZ45" s="1">
        <f t="shared" si="12"/>
        <v>0</v>
      </c>
      <c r="CA45" s="1">
        <f t="shared" si="13"/>
        <v>0</v>
      </c>
    </row>
    <row r="46" spans="1:79" s="21" customFormat="1" ht="15" hidden="1" customHeight="1" x14ac:dyDescent="0.25">
      <c r="A46" s="7"/>
      <c r="B46" s="7"/>
      <c r="C46" s="21">
        <v>65600000</v>
      </c>
      <c r="D46" s="21">
        <v>32800000</v>
      </c>
      <c r="I46" s="10" t="e">
        <f>+C46-#REF!</f>
        <v>#REF!</v>
      </c>
      <c r="J46" s="10" t="e">
        <f>+D46-#REF!</f>
        <v>#REF!</v>
      </c>
      <c r="L46" s="21" t="e">
        <f>+D53*#REF!</f>
        <v>#REF!</v>
      </c>
      <c r="M46" s="21" t="e">
        <f>+E53*#REF!</f>
        <v>#REF!</v>
      </c>
      <c r="AA46" s="21" t="e">
        <f>+P53*#REF!</f>
        <v>#REF!</v>
      </c>
      <c r="AB46" s="21" t="e">
        <f>+Q53*#REF!</f>
        <v>#REF!</v>
      </c>
      <c r="AO46" s="9"/>
      <c r="AP46" s="7"/>
      <c r="AQ46" s="7"/>
      <c r="AR46" s="8"/>
      <c r="AS46" s="8"/>
      <c r="AT46" s="12"/>
      <c r="AU46" s="12"/>
      <c r="AV46" s="50"/>
      <c r="AW46" s="50"/>
      <c r="AX46" s="50"/>
      <c r="AY46" s="12"/>
      <c r="AZ46" s="12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1"/>
      <c r="BT46" s="1"/>
      <c r="BU46" s="1"/>
      <c r="BV46" s="1"/>
      <c r="BW46" s="1"/>
      <c r="BY46" s="1">
        <f t="shared" si="19"/>
        <v>0</v>
      </c>
      <c r="BZ46" s="1">
        <f t="shared" si="12"/>
        <v>0</v>
      </c>
      <c r="CA46" s="1">
        <f t="shared" si="13"/>
        <v>0</v>
      </c>
    </row>
    <row r="47" spans="1:79" s="21" customFormat="1" ht="15" hidden="1" customHeight="1" x14ac:dyDescent="0.25">
      <c r="A47" s="7"/>
      <c r="B47" s="7"/>
      <c r="I47" s="10" t="e">
        <f>+C47-#REF!</f>
        <v>#REF!</v>
      </c>
      <c r="J47" s="10" t="e">
        <f>+D47-#REF!</f>
        <v>#REF!</v>
      </c>
      <c r="L47" s="21" t="e">
        <f>+D53*#REF!</f>
        <v>#REF!</v>
      </c>
      <c r="M47" s="21" t="e">
        <f>+E53*#REF!</f>
        <v>#REF!</v>
      </c>
      <c r="AA47" s="21" t="e">
        <f>+P53*#REF!</f>
        <v>#REF!</v>
      </c>
      <c r="AB47" s="21" t="e">
        <f>+Q53*#REF!</f>
        <v>#REF!</v>
      </c>
      <c r="AO47" s="9"/>
      <c r="AP47" s="7"/>
      <c r="AQ47" s="7"/>
      <c r="AR47" s="8"/>
      <c r="AS47" s="8"/>
      <c r="AT47" s="12"/>
      <c r="AU47" s="12"/>
      <c r="AV47" s="50"/>
      <c r="AW47" s="50"/>
      <c r="AX47" s="50"/>
      <c r="AY47" s="12"/>
      <c r="AZ47" s="12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1"/>
      <c r="BT47" s="1"/>
      <c r="BU47" s="1"/>
      <c r="BV47" s="1"/>
      <c r="BW47" s="1"/>
      <c r="BY47" s="1">
        <f t="shared" si="19"/>
        <v>0</v>
      </c>
      <c r="BZ47" s="1">
        <f t="shared" si="12"/>
        <v>0</v>
      </c>
      <c r="CA47" s="1">
        <f t="shared" si="13"/>
        <v>0</v>
      </c>
    </row>
    <row r="48" spans="1:79" s="21" customFormat="1" ht="15" hidden="1" customHeight="1" x14ac:dyDescent="0.25">
      <c r="A48" s="7"/>
      <c r="B48" s="7"/>
      <c r="C48" s="21">
        <v>3.4499999999999996E-2</v>
      </c>
      <c r="D48" s="21">
        <f>+$C$46*C48</f>
        <v>2263199.9999999995</v>
      </c>
      <c r="E48" s="21">
        <f>+$D$46*C48</f>
        <v>1131599.9999999998</v>
      </c>
      <c r="I48" s="10" t="e">
        <f>+C48-#REF!</f>
        <v>#REF!</v>
      </c>
      <c r="J48" s="10" t="e">
        <f>+D48-#REF!</f>
        <v>#REF!</v>
      </c>
      <c r="L48" s="21" t="e">
        <f>+D53*#REF!</f>
        <v>#REF!</v>
      </c>
      <c r="M48" s="21" t="e">
        <f>+E53*#REF!</f>
        <v>#REF!</v>
      </c>
      <c r="AA48" s="21" t="e">
        <f>+P53*#REF!</f>
        <v>#REF!</v>
      </c>
      <c r="AB48" s="21" t="e">
        <f>+Q53*#REF!</f>
        <v>#REF!</v>
      </c>
      <c r="AO48" s="9"/>
      <c r="AP48" s="7"/>
      <c r="AQ48" s="7"/>
      <c r="AR48" s="8"/>
      <c r="AS48" s="8"/>
      <c r="AT48" s="12"/>
      <c r="AU48" s="12"/>
      <c r="AV48" s="50"/>
      <c r="AW48" s="50"/>
      <c r="AX48" s="50"/>
      <c r="AY48" s="12"/>
      <c r="AZ48" s="12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1"/>
      <c r="BT48" s="1"/>
      <c r="BU48" s="1"/>
      <c r="BV48" s="1"/>
      <c r="BW48" s="1"/>
      <c r="BY48" s="1">
        <f t="shared" si="19"/>
        <v>0</v>
      </c>
      <c r="BZ48" s="1">
        <f t="shared" si="12"/>
        <v>0</v>
      </c>
      <c r="CA48" s="1">
        <f t="shared" si="13"/>
        <v>0</v>
      </c>
    </row>
    <row r="49" spans="1:79" s="21" customFormat="1" ht="15" hidden="1" customHeight="1" x14ac:dyDescent="0.25">
      <c r="A49" s="7"/>
      <c r="B49" s="7"/>
      <c r="C49" s="21">
        <v>2.5000000000000001E-3</v>
      </c>
      <c r="D49" s="21">
        <f t="shared" ref="D49:D52" si="123">+$C$46*C49</f>
        <v>164000</v>
      </c>
      <c r="E49" s="21">
        <f t="shared" ref="E49:E52" si="124">+$D$46*C49</f>
        <v>82000</v>
      </c>
      <c r="I49" s="10" t="e">
        <f>+C49-#REF!</f>
        <v>#REF!</v>
      </c>
      <c r="J49" s="10" t="e">
        <f>+D49-#REF!</f>
        <v>#REF!</v>
      </c>
      <c r="L49" s="21" t="e">
        <f>+D56*#REF!</f>
        <v>#REF!</v>
      </c>
      <c r="AA49" s="21" t="e">
        <f>+P56*#REF!</f>
        <v>#REF!</v>
      </c>
      <c r="AO49" s="9"/>
      <c r="AP49" s="7"/>
      <c r="AQ49" s="7"/>
      <c r="AR49" s="8"/>
      <c r="AS49" s="8"/>
      <c r="AT49" s="12"/>
      <c r="AU49" s="12"/>
      <c r="AV49" s="50"/>
      <c r="AW49" s="50"/>
      <c r="AX49" s="50"/>
      <c r="AY49" s="12"/>
      <c r="AZ49" s="12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1"/>
      <c r="BT49" s="1"/>
      <c r="BU49" s="1"/>
      <c r="BV49" s="1"/>
      <c r="BW49" s="1"/>
      <c r="BY49" s="1">
        <f t="shared" si="19"/>
        <v>0</v>
      </c>
      <c r="BZ49" s="1">
        <f t="shared" si="12"/>
        <v>0</v>
      </c>
      <c r="CA49" s="1">
        <f t="shared" si="13"/>
        <v>0</v>
      </c>
    </row>
    <row r="50" spans="1:79" s="21" customFormat="1" ht="15" hidden="1" customHeight="1" x14ac:dyDescent="0.25">
      <c r="A50" s="7"/>
      <c r="B50" s="7"/>
      <c r="C50" s="21">
        <v>6.4999999999999997E-3</v>
      </c>
      <c r="D50" s="21">
        <f t="shared" si="123"/>
        <v>426400</v>
      </c>
      <c r="E50" s="21">
        <f t="shared" si="124"/>
        <v>213200</v>
      </c>
      <c r="I50" s="10" t="e">
        <f>+C50-#REF!</f>
        <v>#REF!</v>
      </c>
      <c r="J50" s="10" t="e">
        <f>+D50-#REF!</f>
        <v>#REF!</v>
      </c>
      <c r="AO50" s="9"/>
      <c r="AP50" s="7"/>
      <c r="AQ50" s="7"/>
      <c r="AR50" s="8"/>
      <c r="AS50" s="8"/>
      <c r="AT50" s="12"/>
      <c r="AU50" s="12"/>
      <c r="AV50" s="50"/>
      <c r="AW50" s="50"/>
      <c r="AX50" s="50"/>
      <c r="AY50" s="12"/>
      <c r="AZ50" s="12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1"/>
      <c r="BT50" s="1"/>
      <c r="BU50" s="1"/>
      <c r="BV50" s="1"/>
      <c r="BW50" s="1"/>
      <c r="BY50" s="1">
        <f t="shared" si="19"/>
        <v>0</v>
      </c>
      <c r="BZ50" s="1">
        <f t="shared" si="12"/>
        <v>0</v>
      </c>
      <c r="CA50" s="1">
        <f t="shared" si="13"/>
        <v>0</v>
      </c>
    </row>
    <row r="51" spans="1:79" s="21" customFormat="1" ht="15" hidden="1" customHeight="1" x14ac:dyDescent="0.25">
      <c r="A51" s="7"/>
      <c r="B51" s="7"/>
      <c r="C51" s="21">
        <v>3.0000000000000001E-3</v>
      </c>
      <c r="D51" s="21">
        <f t="shared" si="123"/>
        <v>196800</v>
      </c>
      <c r="E51" s="21">
        <f t="shared" si="124"/>
        <v>98400</v>
      </c>
      <c r="I51" s="10" t="e">
        <f>+C51-#REF!</f>
        <v>#REF!</v>
      </c>
      <c r="J51" s="10" t="e">
        <f>+D51-#REF!</f>
        <v>#REF!</v>
      </c>
      <c r="AO51" s="9"/>
      <c r="AP51" s="7"/>
      <c r="AQ51" s="7"/>
      <c r="AR51" s="8"/>
      <c r="AS51" s="8"/>
      <c r="AT51" s="12"/>
      <c r="AU51" s="12"/>
      <c r="AV51" s="50"/>
      <c r="AW51" s="50"/>
      <c r="AX51" s="50"/>
      <c r="AY51" s="12"/>
      <c r="AZ51" s="12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1"/>
      <c r="BT51" s="1"/>
      <c r="BU51" s="1"/>
      <c r="BV51" s="1"/>
      <c r="BW51" s="1"/>
      <c r="BY51" s="1">
        <f t="shared" si="19"/>
        <v>0</v>
      </c>
      <c r="BZ51" s="1">
        <f t="shared" si="12"/>
        <v>0</v>
      </c>
      <c r="CA51" s="1">
        <f t="shared" si="13"/>
        <v>0</v>
      </c>
    </row>
    <row r="52" spans="1:79" s="21" customFormat="1" ht="15" hidden="1" customHeight="1" x14ac:dyDescent="0.25">
      <c r="A52" s="7"/>
      <c r="B52" s="7"/>
      <c r="C52" s="21">
        <v>3.5000000000000001E-3</v>
      </c>
      <c r="D52" s="21">
        <f t="shared" si="123"/>
        <v>229600</v>
      </c>
      <c r="E52" s="21">
        <f t="shared" si="124"/>
        <v>114800</v>
      </c>
      <c r="I52" s="10" t="e">
        <f>+C52-#REF!</f>
        <v>#REF!</v>
      </c>
      <c r="J52" s="10" t="e">
        <f>+D52-#REF!</f>
        <v>#REF!</v>
      </c>
      <c r="AO52" s="9"/>
      <c r="AP52" s="7"/>
      <c r="AQ52" s="7"/>
      <c r="AR52" s="8"/>
      <c r="AS52" s="8"/>
      <c r="AT52" s="12"/>
      <c r="AU52" s="12"/>
      <c r="AV52" s="50"/>
      <c r="AW52" s="50"/>
      <c r="AX52" s="50"/>
      <c r="AY52" s="12"/>
      <c r="AZ52" s="12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1"/>
      <c r="BT52" s="1"/>
      <c r="BU52" s="1"/>
      <c r="BV52" s="1"/>
      <c r="BW52" s="1"/>
      <c r="BY52" s="1">
        <f t="shared" si="19"/>
        <v>0</v>
      </c>
      <c r="BZ52" s="1">
        <f t="shared" si="12"/>
        <v>0</v>
      </c>
      <c r="CA52" s="1">
        <f t="shared" si="13"/>
        <v>0</v>
      </c>
    </row>
    <row r="53" spans="1:79" s="21" customFormat="1" ht="15" hidden="1" customHeight="1" x14ac:dyDescent="0.25">
      <c r="A53" s="7"/>
      <c r="B53" s="7"/>
      <c r="D53" s="21">
        <f t="shared" ref="D53:E53" si="125">SUM(D48:D52)</f>
        <v>3279999.9999999995</v>
      </c>
      <c r="E53" s="21">
        <f t="shared" si="125"/>
        <v>1639999.9999999998</v>
      </c>
      <c r="I53" s="10" t="e">
        <f>+C53-#REF!</f>
        <v>#REF!</v>
      </c>
      <c r="J53" s="10" t="e">
        <f>+D53-#REF!</f>
        <v>#REF!</v>
      </c>
      <c r="AO53" s="9"/>
      <c r="AP53" s="7"/>
      <c r="AQ53" s="7"/>
      <c r="AR53" s="8"/>
      <c r="AS53" s="8"/>
      <c r="AT53" s="12"/>
      <c r="AU53" s="12"/>
      <c r="AV53" s="50"/>
      <c r="AW53" s="50"/>
      <c r="AX53" s="50"/>
      <c r="AY53" s="12"/>
      <c r="AZ53" s="12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1"/>
      <c r="BT53" s="1"/>
      <c r="BU53" s="1"/>
      <c r="BV53" s="1"/>
      <c r="BW53" s="1"/>
      <c r="BY53" s="1">
        <f t="shared" si="19"/>
        <v>0</v>
      </c>
      <c r="BZ53" s="1">
        <f t="shared" si="12"/>
        <v>0</v>
      </c>
      <c r="CA53" s="1">
        <f t="shared" si="13"/>
        <v>0</v>
      </c>
    </row>
    <row r="54" spans="1:79" s="21" customFormat="1" ht="15" hidden="1" customHeight="1" x14ac:dyDescent="0.25">
      <c r="A54" s="7"/>
      <c r="B54" s="7"/>
      <c r="I54" s="10" t="e">
        <f>+C54-#REF!</f>
        <v>#REF!</v>
      </c>
      <c r="J54" s="10" t="e">
        <f>+D54-#REF!</f>
        <v>#REF!</v>
      </c>
      <c r="AO54" s="9"/>
      <c r="AP54" s="7"/>
      <c r="AQ54" s="7"/>
      <c r="AR54" s="8"/>
      <c r="AS54" s="8"/>
      <c r="AT54" s="12"/>
      <c r="AU54" s="12"/>
      <c r="AV54" s="50"/>
      <c r="AW54" s="50"/>
      <c r="AX54" s="50"/>
      <c r="AY54" s="12"/>
      <c r="AZ54" s="12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1"/>
      <c r="BT54" s="1"/>
      <c r="BU54" s="1"/>
      <c r="BV54" s="1"/>
      <c r="BW54" s="1"/>
      <c r="BY54" s="1">
        <f t="shared" si="19"/>
        <v>0</v>
      </c>
      <c r="BZ54" s="1">
        <f t="shared" si="12"/>
        <v>0</v>
      </c>
      <c r="CA54" s="1">
        <f t="shared" si="13"/>
        <v>0</v>
      </c>
    </row>
    <row r="55" spans="1:79" s="21" customFormat="1" ht="15" hidden="1" customHeight="1" x14ac:dyDescent="0.25">
      <c r="A55" s="7"/>
      <c r="B55" s="7"/>
      <c r="I55" s="10" t="e">
        <f>+C55-#REF!</f>
        <v>#REF!</v>
      </c>
      <c r="J55" s="10" t="e">
        <f>+D55-#REF!</f>
        <v>#REF!</v>
      </c>
      <c r="AO55" s="9"/>
      <c r="AP55" s="7"/>
      <c r="AQ55" s="7"/>
      <c r="AR55" s="8"/>
      <c r="AS55" s="8"/>
      <c r="AT55" s="12"/>
      <c r="AU55" s="12"/>
      <c r="AV55" s="50"/>
      <c r="AW55" s="50"/>
      <c r="AX55" s="50"/>
      <c r="AY55" s="12"/>
      <c r="AZ55" s="12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1"/>
      <c r="BT55" s="1"/>
      <c r="BU55" s="1"/>
      <c r="BV55" s="1"/>
      <c r="BW55" s="1"/>
      <c r="BY55" s="1">
        <f t="shared" si="19"/>
        <v>0</v>
      </c>
      <c r="BZ55" s="1">
        <f t="shared" si="12"/>
        <v>0</v>
      </c>
      <c r="CA55" s="1">
        <f t="shared" si="13"/>
        <v>0</v>
      </c>
    </row>
    <row r="56" spans="1:79" s="21" customFormat="1" ht="15" hidden="1" customHeight="1" x14ac:dyDescent="0.25">
      <c r="A56" s="7"/>
      <c r="B56" s="7"/>
      <c r="I56" s="10" t="e">
        <f>+C56-#REF!</f>
        <v>#REF!</v>
      </c>
      <c r="J56" s="10" t="e">
        <f>+D56-#REF!</f>
        <v>#REF!</v>
      </c>
      <c r="AO56" s="9"/>
      <c r="AP56" s="7"/>
      <c r="AQ56" s="7"/>
      <c r="AR56" s="8"/>
      <c r="AS56" s="8"/>
      <c r="AT56" s="12"/>
      <c r="AU56" s="12"/>
      <c r="AV56" s="50"/>
      <c r="AW56" s="50"/>
      <c r="AX56" s="50"/>
      <c r="AY56" s="12"/>
      <c r="AZ56" s="12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1"/>
      <c r="BT56" s="1"/>
      <c r="BU56" s="1"/>
      <c r="BV56" s="1"/>
      <c r="BW56" s="1"/>
      <c r="BY56" s="1">
        <f t="shared" si="19"/>
        <v>0</v>
      </c>
      <c r="BZ56" s="1">
        <f t="shared" si="12"/>
        <v>0</v>
      </c>
      <c r="CA56" s="1">
        <f t="shared" si="13"/>
        <v>0</v>
      </c>
    </row>
    <row r="57" spans="1:79" s="21" customFormat="1" ht="15" hidden="1" customHeight="1" x14ac:dyDescent="0.25">
      <c r="A57" s="7"/>
      <c r="B57" s="7"/>
      <c r="I57" s="10" t="e">
        <f>+C57-#REF!</f>
        <v>#REF!</v>
      </c>
      <c r="J57" s="10" t="e">
        <f>+D57-#REF!</f>
        <v>#REF!</v>
      </c>
      <c r="AO57" s="9"/>
      <c r="AP57" s="7"/>
      <c r="AQ57" s="7"/>
      <c r="AR57" s="8"/>
      <c r="AS57" s="8"/>
      <c r="AT57" s="12"/>
      <c r="AU57" s="12"/>
      <c r="AV57" s="50"/>
      <c r="AW57" s="50"/>
      <c r="AX57" s="50"/>
      <c r="AY57" s="12"/>
      <c r="AZ57" s="12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1"/>
      <c r="BT57" s="1"/>
      <c r="BU57" s="1"/>
      <c r="BV57" s="1"/>
      <c r="BW57" s="1"/>
      <c r="BY57" s="1">
        <f t="shared" si="19"/>
        <v>0</v>
      </c>
      <c r="BZ57" s="1">
        <f t="shared" si="12"/>
        <v>0</v>
      </c>
      <c r="CA57" s="1">
        <f t="shared" si="13"/>
        <v>0</v>
      </c>
    </row>
    <row r="58" spans="1:79" s="21" customFormat="1" ht="15" hidden="1" customHeight="1" x14ac:dyDescent="0.25">
      <c r="A58" s="7"/>
      <c r="B58" s="7"/>
      <c r="I58" s="10" t="e">
        <f>+C58-#REF!</f>
        <v>#REF!</v>
      </c>
      <c r="J58" s="10" t="e">
        <f>+D58-#REF!</f>
        <v>#REF!</v>
      </c>
      <c r="AO58" s="9"/>
      <c r="AP58" s="7"/>
      <c r="AQ58" s="7"/>
      <c r="AR58" s="8"/>
      <c r="AS58" s="8"/>
      <c r="AT58" s="12"/>
      <c r="AU58" s="12"/>
      <c r="AV58" s="50"/>
      <c r="AW58" s="50"/>
      <c r="AX58" s="50"/>
      <c r="AY58" s="12"/>
      <c r="AZ58" s="12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1"/>
      <c r="BT58" s="1"/>
      <c r="BU58" s="1"/>
      <c r="BV58" s="1"/>
      <c r="BW58" s="1"/>
      <c r="BY58" s="1">
        <f t="shared" si="19"/>
        <v>0</v>
      </c>
      <c r="BZ58" s="1">
        <f t="shared" si="12"/>
        <v>0</v>
      </c>
      <c r="CA58" s="1">
        <f t="shared" si="13"/>
        <v>0</v>
      </c>
    </row>
    <row r="59" spans="1:79" s="21" customFormat="1" ht="15" hidden="1" customHeight="1" x14ac:dyDescent="0.25">
      <c r="A59" s="7"/>
      <c r="B59" s="7"/>
      <c r="I59" s="10" t="e">
        <f>+C59-#REF!</f>
        <v>#REF!</v>
      </c>
      <c r="J59" s="10" t="e">
        <f>+D59-#REF!</f>
        <v>#REF!</v>
      </c>
      <c r="AO59" s="9"/>
      <c r="AP59" s="7"/>
      <c r="AQ59" s="7"/>
      <c r="AR59" s="8"/>
      <c r="AS59" s="8"/>
      <c r="AT59" s="12"/>
      <c r="AU59" s="12"/>
      <c r="AV59" s="50"/>
      <c r="AW59" s="50"/>
      <c r="AX59" s="50"/>
      <c r="AY59" s="12"/>
      <c r="AZ59" s="12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1"/>
      <c r="BT59" s="1"/>
      <c r="BU59" s="1"/>
      <c r="BV59" s="1"/>
      <c r="BW59" s="1"/>
      <c r="BY59" s="1">
        <f t="shared" si="19"/>
        <v>0</v>
      </c>
      <c r="BZ59" s="1">
        <f t="shared" si="12"/>
        <v>0</v>
      </c>
      <c r="CA59" s="1">
        <f t="shared" si="13"/>
        <v>0</v>
      </c>
    </row>
    <row r="60" spans="1:79" s="21" customFormat="1" ht="15" hidden="1" customHeight="1" x14ac:dyDescent="0.25">
      <c r="A60" s="7"/>
      <c r="B60" s="7"/>
      <c r="I60" s="10" t="e">
        <f>+C60-#REF!</f>
        <v>#REF!</v>
      </c>
      <c r="J60" s="10" t="e">
        <f>+D60-#REF!</f>
        <v>#REF!</v>
      </c>
      <c r="AO60" s="9"/>
      <c r="AP60" s="7"/>
      <c r="AQ60" s="7"/>
      <c r="AR60" s="8"/>
      <c r="AS60" s="8"/>
      <c r="AT60" s="12"/>
      <c r="AU60" s="12"/>
      <c r="AV60" s="50"/>
      <c r="AW60" s="50"/>
      <c r="AX60" s="50"/>
      <c r="AY60" s="12"/>
      <c r="AZ60" s="12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1"/>
      <c r="BT60" s="1"/>
      <c r="BU60" s="1"/>
      <c r="BV60" s="1"/>
      <c r="BW60" s="1"/>
      <c r="BY60" s="1">
        <f t="shared" si="19"/>
        <v>0</v>
      </c>
      <c r="BZ60" s="1">
        <f t="shared" si="12"/>
        <v>0</v>
      </c>
      <c r="CA60" s="1">
        <f t="shared" si="13"/>
        <v>0</v>
      </c>
    </row>
    <row r="61" spans="1:79" s="21" customFormat="1" ht="15" hidden="1" customHeight="1" x14ac:dyDescent="0.25">
      <c r="A61" s="7"/>
      <c r="B61" s="7"/>
      <c r="I61" s="10" t="e">
        <f>+C61-#REF!</f>
        <v>#REF!</v>
      </c>
      <c r="J61" s="10" t="e">
        <f>+D61-#REF!</f>
        <v>#REF!</v>
      </c>
      <c r="AO61" s="9"/>
      <c r="AP61" s="7"/>
      <c r="AQ61" s="7"/>
      <c r="AR61" s="8"/>
      <c r="AS61" s="8"/>
      <c r="AT61" s="12"/>
      <c r="AU61" s="12"/>
      <c r="AV61" s="50"/>
      <c r="AW61" s="50"/>
      <c r="AX61" s="50"/>
      <c r="AY61" s="12"/>
      <c r="AZ61" s="12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1"/>
      <c r="BT61" s="1"/>
      <c r="BU61" s="1"/>
      <c r="BV61" s="1"/>
      <c r="BW61" s="1"/>
      <c r="BY61" s="1">
        <f t="shared" si="19"/>
        <v>0</v>
      </c>
      <c r="BZ61" s="1">
        <f t="shared" si="12"/>
        <v>0</v>
      </c>
      <c r="CA61" s="1">
        <f t="shared" si="13"/>
        <v>0</v>
      </c>
    </row>
    <row r="62" spans="1:79" s="21" customFormat="1" ht="15" hidden="1" customHeight="1" x14ac:dyDescent="0.25">
      <c r="A62" s="7"/>
      <c r="B62" s="7"/>
      <c r="I62" s="10" t="e">
        <f>+C62-#REF!</f>
        <v>#REF!</v>
      </c>
      <c r="J62" s="10" t="e">
        <f>+D62-#REF!</f>
        <v>#REF!</v>
      </c>
      <c r="AO62" s="9"/>
      <c r="AP62" s="7"/>
      <c r="AQ62" s="7"/>
      <c r="AR62" s="8"/>
      <c r="AS62" s="8"/>
      <c r="AT62" s="12"/>
      <c r="AU62" s="12"/>
      <c r="AV62" s="50"/>
      <c r="AW62" s="50"/>
      <c r="AX62" s="50"/>
      <c r="AY62" s="12"/>
      <c r="AZ62" s="12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1"/>
      <c r="BT62" s="1"/>
      <c r="BU62" s="1"/>
      <c r="BV62" s="1"/>
      <c r="BW62" s="1"/>
      <c r="BY62" s="1">
        <f t="shared" si="19"/>
        <v>0</v>
      </c>
      <c r="BZ62" s="1">
        <f t="shared" si="12"/>
        <v>0</v>
      </c>
      <c r="CA62" s="1">
        <f t="shared" si="13"/>
        <v>0</v>
      </c>
    </row>
    <row r="63" spans="1:79" s="21" customFormat="1" ht="15" hidden="1" customHeight="1" x14ac:dyDescent="0.25">
      <c r="A63" s="7"/>
      <c r="B63" s="7"/>
      <c r="I63" s="10" t="e">
        <f>+C63-#REF!</f>
        <v>#REF!</v>
      </c>
      <c r="J63" s="10" t="e">
        <f>+D63-#REF!</f>
        <v>#REF!</v>
      </c>
      <c r="AO63" s="9"/>
      <c r="AP63" s="7"/>
      <c r="AQ63" s="7"/>
      <c r="AR63" s="8"/>
      <c r="AS63" s="8"/>
      <c r="AT63" s="12"/>
      <c r="AU63" s="12"/>
      <c r="AV63" s="50"/>
      <c r="AW63" s="50"/>
      <c r="AX63" s="50"/>
      <c r="AY63" s="12"/>
      <c r="AZ63" s="12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1"/>
      <c r="BT63" s="1"/>
      <c r="BU63" s="1"/>
      <c r="BV63" s="1"/>
      <c r="BW63" s="1"/>
      <c r="BY63" s="1">
        <f t="shared" si="19"/>
        <v>0</v>
      </c>
      <c r="BZ63" s="1">
        <f t="shared" si="12"/>
        <v>0</v>
      </c>
      <c r="CA63" s="1">
        <f t="shared" si="13"/>
        <v>0</v>
      </c>
    </row>
    <row r="64" spans="1:79" s="21" customFormat="1" ht="15" hidden="1" customHeight="1" x14ac:dyDescent="0.25">
      <c r="A64" s="7"/>
      <c r="B64" s="7"/>
      <c r="I64" s="10" t="e">
        <f>+C64-#REF!</f>
        <v>#REF!</v>
      </c>
      <c r="J64" s="10" t="e">
        <f>+D64-#REF!</f>
        <v>#REF!</v>
      </c>
      <c r="AO64" s="9"/>
      <c r="AP64" s="7"/>
      <c r="AQ64" s="7"/>
      <c r="AR64" s="8"/>
      <c r="AS64" s="8"/>
      <c r="AT64" s="12"/>
      <c r="AU64" s="12"/>
      <c r="AV64" s="50"/>
      <c r="AW64" s="50"/>
      <c r="AX64" s="50"/>
      <c r="AY64" s="12"/>
      <c r="AZ64" s="12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1"/>
      <c r="BT64" s="1"/>
      <c r="BU64" s="1"/>
      <c r="BV64" s="1"/>
      <c r="BW64" s="1"/>
      <c r="BY64" s="1">
        <f t="shared" si="19"/>
        <v>0</v>
      </c>
      <c r="BZ64" s="1">
        <f t="shared" si="12"/>
        <v>0</v>
      </c>
      <c r="CA64" s="1">
        <f t="shared" si="13"/>
        <v>0</v>
      </c>
    </row>
    <row r="65" spans="1:79" s="21" customFormat="1" ht="15" hidden="1" customHeight="1" x14ac:dyDescent="0.25">
      <c r="A65" s="7"/>
      <c r="B65" s="7"/>
      <c r="I65" s="10" t="e">
        <f>+C65-#REF!</f>
        <v>#REF!</v>
      </c>
      <c r="J65" s="10" t="e">
        <f>+D65-#REF!</f>
        <v>#REF!</v>
      </c>
      <c r="AO65" s="9"/>
      <c r="AP65" s="7"/>
      <c r="AQ65" s="7"/>
      <c r="AR65" s="8"/>
      <c r="AS65" s="8"/>
      <c r="AT65" s="12"/>
      <c r="AU65" s="12"/>
      <c r="AV65" s="50"/>
      <c r="AW65" s="50"/>
      <c r="AX65" s="50"/>
      <c r="AY65" s="12"/>
      <c r="AZ65" s="12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1"/>
      <c r="BT65" s="1"/>
      <c r="BU65" s="1"/>
      <c r="BV65" s="1"/>
      <c r="BW65" s="1"/>
      <c r="BY65" s="1">
        <f t="shared" si="19"/>
        <v>0</v>
      </c>
      <c r="BZ65" s="1">
        <f t="shared" si="12"/>
        <v>0</v>
      </c>
      <c r="CA65" s="1">
        <f t="shared" si="13"/>
        <v>0</v>
      </c>
    </row>
    <row r="66" spans="1:79" s="21" customFormat="1" ht="15" hidden="1" customHeight="1" x14ac:dyDescent="0.25">
      <c r="A66" s="7"/>
      <c r="B66" s="7"/>
      <c r="I66" s="10" t="e">
        <f>+C66-#REF!</f>
        <v>#REF!</v>
      </c>
      <c r="J66" s="10" t="e">
        <f>+D66-#REF!</f>
        <v>#REF!</v>
      </c>
      <c r="AO66" s="9"/>
      <c r="AP66" s="7"/>
      <c r="AQ66" s="7"/>
      <c r="AR66" s="8"/>
      <c r="AS66" s="8"/>
      <c r="AT66" s="12"/>
      <c r="AU66" s="12"/>
      <c r="AV66" s="50"/>
      <c r="AW66" s="50"/>
      <c r="AX66" s="50"/>
      <c r="AY66" s="12"/>
      <c r="AZ66" s="12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1"/>
      <c r="BT66" s="1"/>
      <c r="BU66" s="1"/>
      <c r="BV66" s="1"/>
      <c r="BW66" s="1"/>
      <c r="BY66" s="1">
        <f t="shared" si="19"/>
        <v>0</v>
      </c>
      <c r="BZ66" s="1">
        <f t="shared" si="12"/>
        <v>0</v>
      </c>
      <c r="CA66" s="1">
        <f t="shared" si="13"/>
        <v>0</v>
      </c>
    </row>
    <row r="67" spans="1:79" s="21" customFormat="1" ht="15" hidden="1" customHeight="1" x14ac:dyDescent="0.25">
      <c r="A67" s="7"/>
      <c r="B67" s="7"/>
      <c r="I67" s="10" t="e">
        <f>+C67-#REF!</f>
        <v>#REF!</v>
      </c>
      <c r="J67" s="10" t="e">
        <f>+D67-#REF!</f>
        <v>#REF!</v>
      </c>
      <c r="AO67" s="9"/>
      <c r="AP67" s="7"/>
      <c r="AQ67" s="7"/>
      <c r="AR67" s="8"/>
      <c r="AS67" s="8"/>
      <c r="AT67" s="12"/>
      <c r="AU67" s="12"/>
      <c r="AV67" s="50"/>
      <c r="AW67" s="50"/>
      <c r="AX67" s="50"/>
      <c r="AY67" s="12"/>
      <c r="AZ67" s="12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1"/>
      <c r="BT67" s="1"/>
      <c r="BU67" s="1"/>
      <c r="BV67" s="1"/>
      <c r="BW67" s="1"/>
      <c r="BY67" s="1">
        <f t="shared" si="19"/>
        <v>0</v>
      </c>
      <c r="BZ67" s="1">
        <f t="shared" si="12"/>
        <v>0</v>
      </c>
      <c r="CA67" s="1">
        <f t="shared" si="13"/>
        <v>0</v>
      </c>
    </row>
    <row r="68" spans="1:79" s="21" customFormat="1" ht="15" hidden="1" customHeight="1" x14ac:dyDescent="0.25">
      <c r="A68" s="7"/>
      <c r="B68" s="7"/>
      <c r="I68" s="10" t="e">
        <f>+C68-#REF!</f>
        <v>#REF!</v>
      </c>
      <c r="J68" s="10" t="e">
        <f>+D68-#REF!</f>
        <v>#REF!</v>
      </c>
      <c r="AO68" s="9"/>
      <c r="AP68" s="7"/>
      <c r="AQ68" s="7"/>
      <c r="AR68" s="8"/>
      <c r="AS68" s="8"/>
      <c r="AT68" s="12"/>
      <c r="AU68" s="12"/>
      <c r="AV68" s="50"/>
      <c r="AW68" s="50"/>
      <c r="AX68" s="50"/>
      <c r="AY68" s="12"/>
      <c r="AZ68" s="12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"/>
      <c r="BT68" s="1"/>
      <c r="BU68" s="1"/>
      <c r="BV68" s="1"/>
      <c r="BW68" s="1"/>
      <c r="BY68" s="1">
        <f t="shared" si="19"/>
        <v>0</v>
      </c>
      <c r="BZ68" s="1">
        <f t="shared" si="12"/>
        <v>0</v>
      </c>
      <c r="CA68" s="1">
        <f t="shared" si="13"/>
        <v>0</v>
      </c>
    </row>
    <row r="69" spans="1:79" s="21" customFormat="1" ht="15" hidden="1" customHeight="1" x14ac:dyDescent="0.25">
      <c r="A69" s="7"/>
      <c r="B69" s="7"/>
      <c r="I69" s="10" t="e">
        <f>+C69-#REF!</f>
        <v>#REF!</v>
      </c>
      <c r="J69" s="10" t="e">
        <f>+D69-#REF!</f>
        <v>#REF!</v>
      </c>
      <c r="AO69" s="9"/>
      <c r="AP69" s="7"/>
      <c r="AQ69" s="7"/>
      <c r="AR69" s="8"/>
      <c r="AS69" s="8"/>
      <c r="AT69" s="12"/>
      <c r="AU69" s="12"/>
      <c r="AV69" s="50"/>
      <c r="AW69" s="50"/>
      <c r="AX69" s="50"/>
      <c r="AY69" s="12"/>
      <c r="AZ69" s="12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1"/>
      <c r="BT69" s="1"/>
      <c r="BU69" s="1"/>
      <c r="BV69" s="1"/>
      <c r="BW69" s="1"/>
      <c r="BY69" s="1">
        <f t="shared" si="19"/>
        <v>0</v>
      </c>
      <c r="BZ69" s="1">
        <f t="shared" si="12"/>
        <v>0</v>
      </c>
      <c r="CA69" s="1">
        <f t="shared" si="13"/>
        <v>0</v>
      </c>
    </row>
    <row r="70" spans="1:79" s="21" customFormat="1" ht="30" hidden="1" customHeight="1" x14ac:dyDescent="0.25">
      <c r="A70" s="7"/>
      <c r="B70" s="7"/>
      <c r="I70" s="10" t="e">
        <f>+C70-#REF!</f>
        <v>#REF!</v>
      </c>
      <c r="J70" s="10" t="e">
        <f>+D70-#REF!</f>
        <v>#REF!</v>
      </c>
      <c r="M70" s="51" t="s">
        <v>8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AB70" s="51" t="s">
        <v>8</v>
      </c>
      <c r="AC70" s="51"/>
      <c r="AD70" s="51"/>
      <c r="AE70" s="51"/>
      <c r="AF70" s="51"/>
      <c r="AG70" s="51"/>
      <c r="AH70" s="51"/>
      <c r="AI70" s="51"/>
      <c r="AJ70" s="51"/>
      <c r="AK70" s="51"/>
      <c r="AL70" s="21" t="e">
        <f>+#REF!+#REF!+#REF!+#REF!+#REF!+#REF!+#REF!+#REF!+#REF!+#REF!+#REF!+#REF!</f>
        <v>#REF!</v>
      </c>
      <c r="AM70" s="21" t="e">
        <f>+#REF!+#REF!+#REF!+#REF!+#REF!+#REF!+#REF!+#REF!+#REF!+#REF!+#REF!+#REF!</f>
        <v>#REF!</v>
      </c>
      <c r="AN70" s="21" t="e">
        <f>+#REF!+#REF!+#REF!+#REF!+#REF!+#REF!+#REF!+#REF!+#REF!+#REF!+#REF!+#REF!</f>
        <v>#REF!</v>
      </c>
      <c r="AO70" s="9"/>
      <c r="AP70" s="7"/>
      <c r="AQ70" s="7"/>
      <c r="AR70" s="8"/>
      <c r="AS70" s="8"/>
      <c r="AT70" s="12"/>
      <c r="AU70" s="12"/>
      <c r="AV70" s="50"/>
      <c r="AW70" s="50"/>
      <c r="AX70" s="50"/>
      <c r="AY70" s="12"/>
      <c r="AZ70" s="12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"/>
      <c r="BT70" s="1"/>
      <c r="BU70" s="1"/>
      <c r="BV70" s="1"/>
      <c r="BW70" s="1"/>
      <c r="BY70" s="1" t="e">
        <f t="shared" si="19"/>
        <v>#REF!</v>
      </c>
      <c r="BZ70" s="1" t="e">
        <f t="shared" si="12"/>
        <v>#REF!</v>
      </c>
      <c r="CA70" s="1" t="e">
        <f t="shared" si="13"/>
        <v>#REF!</v>
      </c>
    </row>
    <row r="71" spans="1:79" s="21" customFormat="1" ht="30" hidden="1" customHeight="1" x14ac:dyDescent="0.25">
      <c r="A71" s="7"/>
      <c r="B71" s="7"/>
      <c r="C71" s="21">
        <v>65600000</v>
      </c>
      <c r="D71" s="21">
        <v>32800000</v>
      </c>
      <c r="I71" s="10" t="e">
        <f>+C71-#REF!</f>
        <v>#REF!</v>
      </c>
      <c r="J71" s="10" t="e">
        <f>+D71-#REF!</f>
        <v>#REF!</v>
      </c>
      <c r="M71" s="51" t="s">
        <v>12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AB71" s="51" t="s">
        <v>12</v>
      </c>
      <c r="AC71" s="51"/>
      <c r="AD71" s="51"/>
      <c r="AE71" s="51"/>
      <c r="AF71" s="51"/>
      <c r="AG71" s="51"/>
      <c r="AH71" s="51"/>
      <c r="AI71" s="51"/>
      <c r="AJ71" s="51"/>
      <c r="AK71" s="51"/>
      <c r="AL71" s="21" t="e">
        <f>+#REF!+#REF!+#REF!+#REF!+#REF!+#REF!+#REF!+#REF!</f>
        <v>#REF!</v>
      </c>
      <c r="AM71" s="21" t="e">
        <f>+#REF!+#REF!+#REF!+#REF!+#REF!+#REF!+#REF!+#REF!</f>
        <v>#REF!</v>
      </c>
      <c r="AN71" s="21" t="e">
        <f>+#REF!+#REF!+#REF!+#REF!+#REF!+#REF!+#REF!+#REF!</f>
        <v>#REF!</v>
      </c>
      <c r="AO71" s="9"/>
      <c r="AP71" s="7"/>
      <c r="AQ71" s="7"/>
      <c r="AR71" s="8"/>
      <c r="AS71" s="8"/>
      <c r="AT71" s="12"/>
      <c r="AU71" s="12"/>
      <c r="AV71" s="50"/>
      <c r="AW71" s="50"/>
      <c r="AX71" s="50"/>
      <c r="AY71" s="12"/>
      <c r="AZ71" s="12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1"/>
      <c r="BT71" s="1"/>
      <c r="BU71" s="1"/>
      <c r="BV71" s="1"/>
      <c r="BW71" s="1"/>
      <c r="BY71" s="1" t="e">
        <f t="shared" si="19"/>
        <v>#REF!</v>
      </c>
      <c r="BZ71" s="1" t="e">
        <f t="shared" si="12"/>
        <v>#REF!</v>
      </c>
      <c r="CA71" s="1" t="e">
        <f t="shared" si="13"/>
        <v>#REF!</v>
      </c>
    </row>
    <row r="72" spans="1:79" s="21" customFormat="1" ht="30" hidden="1" customHeight="1" x14ac:dyDescent="0.25">
      <c r="A72" s="7"/>
      <c r="B72" s="7"/>
      <c r="C72" s="21">
        <v>53833620</v>
      </c>
      <c r="D72" s="21">
        <v>10070000</v>
      </c>
      <c r="I72" s="10" t="e">
        <f>+C72-#REF!</f>
        <v>#REF!</v>
      </c>
      <c r="J72" s="10" t="e">
        <f>+D72-#REF!</f>
        <v>#REF!</v>
      </c>
      <c r="M72" s="51" t="s">
        <v>9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AB72" s="51" t="s">
        <v>9</v>
      </c>
      <c r="AC72" s="51"/>
      <c r="AD72" s="51"/>
      <c r="AE72" s="51"/>
      <c r="AF72" s="51"/>
      <c r="AG72" s="51"/>
      <c r="AH72" s="51"/>
      <c r="AI72" s="51"/>
      <c r="AJ72" s="51"/>
      <c r="AK72" s="51"/>
      <c r="AL72" s="21" t="e">
        <f>+#REF!+#REF!+#REF!+#REF!+#REF!+#REF!+#REF!+#REF!+#REF!+#REF!+#REF!</f>
        <v>#REF!</v>
      </c>
      <c r="AM72" s="21" t="e">
        <f>+#REF!+#REF!+#REF!+#REF!+#REF!+#REF!+#REF!+#REF!+#REF!+#REF!+#REF!</f>
        <v>#REF!</v>
      </c>
      <c r="AN72" s="21" t="e">
        <f>+#REF!+#REF!+#REF!+#REF!+#REF!+#REF!+#REF!+#REF!+#REF!+#REF!+#REF!</f>
        <v>#REF!</v>
      </c>
      <c r="AO72" s="9"/>
      <c r="AP72" s="7"/>
      <c r="AQ72" s="7"/>
      <c r="AR72" s="8"/>
      <c r="AS72" s="8"/>
      <c r="AT72" s="12"/>
      <c r="AU72" s="12"/>
      <c r="AV72" s="50"/>
      <c r="AW72" s="50"/>
      <c r="AX72" s="50"/>
      <c r="AY72" s="12"/>
      <c r="AZ72" s="12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1"/>
      <c r="BT72" s="1"/>
      <c r="BU72" s="1"/>
      <c r="BV72" s="1"/>
      <c r="BW72" s="1"/>
      <c r="BY72" s="1" t="e">
        <f t="shared" si="19"/>
        <v>#REF!</v>
      </c>
      <c r="BZ72" s="1" t="e">
        <f t="shared" ref="BZ72:BZ127" si="126">+X72-AM72</f>
        <v>#REF!</v>
      </c>
      <c r="CA72" s="1" t="e">
        <f t="shared" ref="CA72:CA127" si="127">+Y72-AN72</f>
        <v>#REF!</v>
      </c>
    </row>
    <row r="73" spans="1:79" s="21" customFormat="1" ht="15" hidden="1" customHeight="1" x14ac:dyDescent="0.25">
      <c r="A73" s="7"/>
      <c r="B73" s="7"/>
      <c r="C73" s="21">
        <v>4440000</v>
      </c>
      <c r="D73" s="21">
        <v>0</v>
      </c>
      <c r="I73" s="10" t="e">
        <f>+C73-#REF!</f>
        <v>#REF!</v>
      </c>
      <c r="J73" s="10" t="e">
        <f>+D73-#REF!</f>
        <v>#REF!</v>
      </c>
      <c r="M73" s="51" t="s">
        <v>13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AB73" s="51" t="s">
        <v>13</v>
      </c>
      <c r="AC73" s="51"/>
      <c r="AD73" s="51"/>
      <c r="AE73" s="51"/>
      <c r="AF73" s="51"/>
      <c r="AG73" s="51"/>
      <c r="AH73" s="51"/>
      <c r="AI73" s="51"/>
      <c r="AJ73" s="51"/>
      <c r="AK73" s="51"/>
      <c r="AL73" s="21" t="e">
        <f>+#REF!+#REF!+#REF!+#REF!+#REF!+#REF!+#REF!+#REF!</f>
        <v>#REF!</v>
      </c>
      <c r="AM73" s="21" t="e">
        <f>+#REF!+#REF!+#REF!+#REF!+#REF!+#REF!+#REF!+#REF!</f>
        <v>#REF!</v>
      </c>
      <c r="AN73" s="21" t="e">
        <f>+#REF!+#REF!+#REF!+#REF!+#REF!+#REF!+#REF!+#REF!</f>
        <v>#REF!</v>
      </c>
      <c r="AO73" s="9"/>
      <c r="AP73" s="7"/>
      <c r="AQ73" s="7"/>
      <c r="AR73" s="8"/>
      <c r="AS73" s="8"/>
      <c r="AT73" s="12"/>
      <c r="AU73" s="12"/>
      <c r="AV73" s="50"/>
      <c r="AW73" s="50"/>
      <c r="AX73" s="50"/>
      <c r="AY73" s="12"/>
      <c r="AZ73" s="12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1"/>
      <c r="BT73" s="1"/>
      <c r="BU73" s="1"/>
      <c r="BV73" s="1"/>
      <c r="BW73" s="1"/>
      <c r="BY73" s="1" t="e">
        <f t="shared" ref="BY73:BY127" si="128">+W73-AL73</f>
        <v>#REF!</v>
      </c>
      <c r="BZ73" s="1" t="e">
        <f t="shared" si="126"/>
        <v>#REF!</v>
      </c>
      <c r="CA73" s="1" t="e">
        <f t="shared" si="127"/>
        <v>#REF!</v>
      </c>
    </row>
    <row r="74" spans="1:79" s="21" customFormat="1" ht="30" hidden="1" customHeight="1" x14ac:dyDescent="0.25">
      <c r="A74" s="7"/>
      <c r="B74" s="7"/>
      <c r="C74" s="21">
        <v>4046380</v>
      </c>
      <c r="D74" s="21">
        <v>21090000</v>
      </c>
      <c r="I74" s="10" t="e">
        <f>+C74-#REF!</f>
        <v>#REF!</v>
      </c>
      <c r="J74" s="10" t="e">
        <f>+D74-#REF!</f>
        <v>#REF!</v>
      </c>
      <c r="M74" s="51" t="s">
        <v>14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AB74" s="51" t="s">
        <v>14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21" t="e">
        <f>+#REF!+#REF!+#REF!+#REF!+#REF!+#REF!+#REF!+#REF!</f>
        <v>#REF!</v>
      </c>
      <c r="AM74" s="21" t="e">
        <f>+#REF!+#REF!+#REF!+#REF!+#REF!+#REF!+#REF!+#REF!</f>
        <v>#REF!</v>
      </c>
      <c r="AN74" s="21" t="e">
        <f>+#REF!+#REF!+#REF!+#REF!+#REF!+#REF!+#REF!+#REF!</f>
        <v>#REF!</v>
      </c>
      <c r="AO74" s="9"/>
      <c r="AP74" s="7"/>
      <c r="AQ74" s="7"/>
      <c r="AR74" s="8"/>
      <c r="AS74" s="8"/>
      <c r="AT74" s="12"/>
      <c r="AU74" s="12"/>
      <c r="AV74" s="50"/>
      <c r="AW74" s="50"/>
      <c r="AX74" s="50"/>
      <c r="AY74" s="12"/>
      <c r="AZ74" s="12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1"/>
      <c r="BT74" s="1"/>
      <c r="BU74" s="1"/>
      <c r="BV74" s="1"/>
      <c r="BW74" s="1"/>
      <c r="BY74" s="1" t="e">
        <f t="shared" si="128"/>
        <v>#REF!</v>
      </c>
      <c r="BZ74" s="1" t="e">
        <f t="shared" si="126"/>
        <v>#REF!</v>
      </c>
      <c r="CA74" s="1" t="e">
        <f t="shared" si="127"/>
        <v>#REF!</v>
      </c>
    </row>
    <row r="75" spans="1:79" s="21" customFormat="1" ht="15" hidden="1" customHeight="1" x14ac:dyDescent="0.25">
      <c r="A75" s="7"/>
      <c r="B75" s="7"/>
      <c r="I75" s="10" t="e">
        <f>+C75-#REF!</f>
        <v>#REF!</v>
      </c>
      <c r="J75" s="10" t="e">
        <f>+D75-#REF!</f>
        <v>#REF!</v>
      </c>
      <c r="AL75" s="21" t="e">
        <f t="shared" ref="AL75:AN75" si="129">SUM(AL70:AL74)</f>
        <v>#REF!</v>
      </c>
      <c r="AM75" s="21" t="e">
        <f t="shared" si="129"/>
        <v>#REF!</v>
      </c>
      <c r="AN75" s="21" t="e">
        <f t="shared" si="129"/>
        <v>#REF!</v>
      </c>
      <c r="AO75" s="9"/>
      <c r="AP75" s="7"/>
      <c r="AQ75" s="7"/>
      <c r="AR75" s="8"/>
      <c r="AS75" s="8"/>
      <c r="AT75" s="12"/>
      <c r="AU75" s="12"/>
      <c r="AV75" s="50"/>
      <c r="AW75" s="50"/>
      <c r="AX75" s="50"/>
      <c r="AY75" s="12"/>
      <c r="AZ75" s="12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1"/>
      <c r="BT75" s="1"/>
      <c r="BU75" s="1"/>
      <c r="BV75" s="1"/>
      <c r="BW75" s="1"/>
      <c r="BY75" s="1" t="e">
        <f t="shared" si="128"/>
        <v>#REF!</v>
      </c>
      <c r="BZ75" s="1" t="e">
        <f t="shared" si="126"/>
        <v>#REF!</v>
      </c>
      <c r="CA75" s="1" t="e">
        <f t="shared" si="127"/>
        <v>#REF!</v>
      </c>
    </row>
    <row r="76" spans="1:79" s="21" customFormat="1" ht="15" hidden="1" customHeight="1" x14ac:dyDescent="0.25">
      <c r="A76" s="7"/>
      <c r="B76" s="7"/>
      <c r="I76" s="10" t="e">
        <f>+C76-#REF!</f>
        <v>#REF!</v>
      </c>
      <c r="J76" s="10" t="e">
        <f>+D76-#REF!</f>
        <v>#REF!</v>
      </c>
      <c r="AO76" s="9"/>
      <c r="AP76" s="7"/>
      <c r="AQ76" s="7"/>
      <c r="AR76" s="8"/>
      <c r="AS76" s="8"/>
      <c r="AT76" s="12"/>
      <c r="AU76" s="12"/>
      <c r="AV76" s="50"/>
      <c r="AW76" s="50"/>
      <c r="AX76" s="50"/>
      <c r="AY76" s="12"/>
      <c r="AZ76" s="12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1"/>
      <c r="BT76" s="1"/>
      <c r="BU76" s="1"/>
      <c r="BV76" s="1"/>
      <c r="BW76" s="1"/>
      <c r="BY76" s="1">
        <f t="shared" si="128"/>
        <v>0</v>
      </c>
      <c r="BZ76" s="1">
        <f t="shared" si="126"/>
        <v>0</v>
      </c>
      <c r="CA76" s="1">
        <f t="shared" si="127"/>
        <v>0</v>
      </c>
    </row>
    <row r="77" spans="1:79" s="21" customFormat="1" ht="15" hidden="1" customHeight="1" x14ac:dyDescent="0.25">
      <c r="A77" s="7"/>
      <c r="B77" s="7"/>
      <c r="C77" s="21">
        <f>+C72/C71</f>
        <v>0.82063445121951217</v>
      </c>
      <c r="D77" s="21">
        <f>+D72/D71</f>
        <v>0.30701219512195121</v>
      </c>
      <c r="I77" s="10" t="e">
        <f>+C77-#REF!</f>
        <v>#REF!</v>
      </c>
      <c r="J77" s="10" t="e">
        <f>+D77-#REF!</f>
        <v>#REF!</v>
      </c>
      <c r="AO77" s="9"/>
      <c r="AP77" s="7"/>
      <c r="AQ77" s="7"/>
      <c r="AR77" s="8"/>
      <c r="AS77" s="8"/>
      <c r="AT77" s="12"/>
      <c r="AU77" s="12"/>
      <c r="AV77" s="50"/>
      <c r="AW77" s="50"/>
      <c r="AX77" s="50"/>
      <c r="AY77" s="12"/>
      <c r="AZ77" s="12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1"/>
      <c r="BT77" s="1"/>
      <c r="BU77" s="1"/>
      <c r="BV77" s="1"/>
      <c r="BW77" s="1"/>
      <c r="BY77" s="1">
        <f t="shared" si="128"/>
        <v>0</v>
      </c>
      <c r="BZ77" s="1">
        <f t="shared" si="126"/>
        <v>0</v>
      </c>
      <c r="CA77" s="1">
        <f t="shared" si="127"/>
        <v>0</v>
      </c>
    </row>
    <row r="78" spans="1:79" s="21" customFormat="1" ht="15" hidden="1" customHeight="1" x14ac:dyDescent="0.25">
      <c r="A78" s="7"/>
      <c r="B78" s="7"/>
      <c r="C78" s="21">
        <f>+C73/C71</f>
        <v>6.7682926829268297E-2</v>
      </c>
      <c r="D78" s="21">
        <f>+D73/D71</f>
        <v>0</v>
      </c>
      <c r="I78" s="10" t="e">
        <f>+C78-#REF!</f>
        <v>#REF!</v>
      </c>
      <c r="J78" s="10" t="e">
        <f>+D78-#REF!</f>
        <v>#REF!</v>
      </c>
      <c r="AO78" s="9"/>
      <c r="AP78" s="7"/>
      <c r="AQ78" s="7"/>
      <c r="AR78" s="8"/>
      <c r="AS78" s="8"/>
      <c r="AT78" s="12"/>
      <c r="AU78" s="12"/>
      <c r="AV78" s="50"/>
      <c r="AW78" s="50"/>
      <c r="AX78" s="50"/>
      <c r="AY78" s="12"/>
      <c r="AZ78" s="12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1"/>
      <c r="BT78" s="1"/>
      <c r="BU78" s="1"/>
      <c r="BV78" s="1"/>
      <c r="BW78" s="1"/>
      <c r="BY78" s="1">
        <f t="shared" si="128"/>
        <v>0</v>
      </c>
      <c r="BZ78" s="1">
        <f t="shared" si="126"/>
        <v>0</v>
      </c>
      <c r="CA78" s="1">
        <f t="shared" si="127"/>
        <v>0</v>
      </c>
    </row>
    <row r="79" spans="1:79" s="21" customFormat="1" ht="15" hidden="1" customHeight="1" x14ac:dyDescent="0.25">
      <c r="A79" s="7"/>
      <c r="B79" s="7"/>
      <c r="C79" s="21">
        <f>+C74/C71</f>
        <v>6.1682621951219513E-2</v>
      </c>
      <c r="D79" s="21">
        <f>+D74/D71</f>
        <v>0.64298780487804874</v>
      </c>
      <c r="I79" s="10" t="e">
        <f>+C79-#REF!</f>
        <v>#REF!</v>
      </c>
      <c r="J79" s="10" t="e">
        <f>+D79-#REF!</f>
        <v>#REF!</v>
      </c>
      <c r="AO79" s="9"/>
      <c r="AP79" s="7"/>
      <c r="AQ79" s="7"/>
      <c r="AR79" s="8"/>
      <c r="AS79" s="8"/>
      <c r="AT79" s="12"/>
      <c r="AU79" s="12"/>
      <c r="AV79" s="50"/>
      <c r="AW79" s="50"/>
      <c r="AX79" s="50"/>
      <c r="AY79" s="12"/>
      <c r="AZ79" s="12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1"/>
      <c r="BT79" s="1"/>
      <c r="BU79" s="1"/>
      <c r="BV79" s="1"/>
      <c r="BW79" s="1"/>
      <c r="BY79" s="1">
        <f t="shared" si="128"/>
        <v>0</v>
      </c>
      <c r="BZ79" s="1">
        <f t="shared" si="126"/>
        <v>0</v>
      </c>
      <c r="CA79" s="1">
        <f t="shared" si="127"/>
        <v>0</v>
      </c>
    </row>
    <row r="80" spans="1:79" s="21" customFormat="1" ht="15" hidden="1" customHeight="1" x14ac:dyDescent="0.25">
      <c r="A80" s="7"/>
      <c r="B80" s="7"/>
      <c r="I80" s="10" t="e">
        <f>+C80-#REF!</f>
        <v>#REF!</v>
      </c>
      <c r="J80" s="10" t="e">
        <f>+D80-#REF!</f>
        <v>#REF!</v>
      </c>
      <c r="AO80" s="9"/>
      <c r="AP80" s="7"/>
      <c r="AQ80" s="7"/>
      <c r="AR80" s="8"/>
      <c r="AS80" s="8"/>
      <c r="AT80" s="12"/>
      <c r="AU80" s="12"/>
      <c r="AV80" s="50"/>
      <c r="AW80" s="50"/>
      <c r="AX80" s="50"/>
      <c r="AY80" s="12"/>
      <c r="AZ80" s="12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1"/>
      <c r="BT80" s="1"/>
      <c r="BU80" s="1"/>
      <c r="BV80" s="1"/>
      <c r="BW80" s="1"/>
      <c r="BY80" s="1">
        <f t="shared" si="128"/>
        <v>0</v>
      </c>
      <c r="BZ80" s="1">
        <f t="shared" si="126"/>
        <v>0</v>
      </c>
      <c r="CA80" s="1">
        <f t="shared" si="127"/>
        <v>0</v>
      </c>
    </row>
    <row r="81" spans="1:79" s="21" customFormat="1" ht="15" hidden="1" customHeight="1" x14ac:dyDescent="0.25">
      <c r="A81" s="7"/>
      <c r="B81" s="7"/>
      <c r="I81" s="10" t="e">
        <f>+C81-#REF!</f>
        <v>#REF!</v>
      </c>
      <c r="J81" s="10" t="e">
        <f>+D81-#REF!</f>
        <v>#REF!</v>
      </c>
      <c r="AO81" s="9"/>
      <c r="AP81" s="7"/>
      <c r="AQ81" s="7"/>
      <c r="AR81" s="8"/>
      <c r="AS81" s="8"/>
      <c r="AT81" s="12"/>
      <c r="AU81" s="12"/>
      <c r="AV81" s="50"/>
      <c r="AW81" s="50"/>
      <c r="AX81" s="50"/>
      <c r="AY81" s="12"/>
      <c r="AZ81" s="12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1"/>
      <c r="BT81" s="1"/>
      <c r="BU81" s="1"/>
      <c r="BV81" s="1"/>
      <c r="BW81" s="1"/>
      <c r="BY81" s="1">
        <f t="shared" si="128"/>
        <v>0</v>
      </c>
      <c r="BZ81" s="1">
        <f t="shared" si="126"/>
        <v>0</v>
      </c>
      <c r="CA81" s="1">
        <f t="shared" si="127"/>
        <v>0</v>
      </c>
    </row>
    <row r="82" spans="1:79" s="21" customFormat="1" ht="15" hidden="1" customHeight="1" x14ac:dyDescent="0.25">
      <c r="A82" s="7"/>
      <c r="B82" s="7"/>
      <c r="C82" s="21">
        <f>+C71*0.04</f>
        <v>2624000</v>
      </c>
      <c r="D82" s="21">
        <f>+D71*0.04</f>
        <v>1312000</v>
      </c>
      <c r="I82" s="10" t="e">
        <f>+C82-#REF!</f>
        <v>#REF!</v>
      </c>
      <c r="J82" s="10" t="e">
        <f>+D82-#REF!</f>
        <v>#REF!</v>
      </c>
      <c r="AO82" s="9"/>
      <c r="AP82" s="7"/>
      <c r="AQ82" s="7"/>
      <c r="AR82" s="8"/>
      <c r="AS82" s="8"/>
      <c r="AT82" s="12"/>
      <c r="AU82" s="12"/>
      <c r="AV82" s="50"/>
      <c r="AW82" s="50"/>
      <c r="AX82" s="50"/>
      <c r="AY82" s="12"/>
      <c r="AZ82" s="12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1"/>
      <c r="BT82" s="1"/>
      <c r="BU82" s="1"/>
      <c r="BV82" s="1"/>
      <c r="BW82" s="1"/>
      <c r="BY82" s="1">
        <f t="shared" si="128"/>
        <v>0</v>
      </c>
      <c r="BZ82" s="1">
        <f t="shared" si="126"/>
        <v>0</v>
      </c>
      <c r="CA82" s="1">
        <f t="shared" si="127"/>
        <v>0</v>
      </c>
    </row>
    <row r="83" spans="1:79" s="21" customFormat="1" ht="15" hidden="1" customHeight="1" x14ac:dyDescent="0.25">
      <c r="A83" s="7"/>
      <c r="B83" s="7"/>
      <c r="C83" s="21">
        <f>+C82*C77</f>
        <v>2153344.7999999998</v>
      </c>
      <c r="D83" s="21">
        <f>+D82*D77</f>
        <v>402800</v>
      </c>
      <c r="I83" s="10" t="e">
        <f>+C83-#REF!</f>
        <v>#REF!</v>
      </c>
      <c r="J83" s="10" t="e">
        <f>+D83-#REF!</f>
        <v>#REF!</v>
      </c>
      <c r="AO83" s="9"/>
      <c r="AP83" s="7"/>
      <c r="AQ83" s="7"/>
      <c r="AR83" s="8"/>
      <c r="AS83" s="8"/>
      <c r="AT83" s="12"/>
      <c r="AU83" s="12"/>
      <c r="AV83" s="50"/>
      <c r="AW83" s="50"/>
      <c r="AX83" s="50"/>
      <c r="AY83" s="12"/>
      <c r="AZ83" s="12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1"/>
      <c r="BT83" s="1"/>
      <c r="BU83" s="1"/>
      <c r="BV83" s="1"/>
      <c r="BW83" s="1"/>
      <c r="BY83" s="1">
        <f t="shared" si="128"/>
        <v>0</v>
      </c>
      <c r="BZ83" s="1">
        <f t="shared" si="126"/>
        <v>0</v>
      </c>
      <c r="CA83" s="1">
        <f t="shared" si="127"/>
        <v>0</v>
      </c>
    </row>
    <row r="84" spans="1:79" s="21" customFormat="1" ht="15" hidden="1" customHeight="1" x14ac:dyDescent="0.25">
      <c r="A84" s="7"/>
      <c r="B84" s="7"/>
      <c r="C84" s="21">
        <f>+C78*C82</f>
        <v>177600</v>
      </c>
      <c r="D84" s="21">
        <f>+D78*D82</f>
        <v>0</v>
      </c>
      <c r="I84" s="10" t="e">
        <f>+C84-#REF!</f>
        <v>#REF!</v>
      </c>
      <c r="J84" s="10" t="e">
        <f>+D84-#REF!</f>
        <v>#REF!</v>
      </c>
      <c r="AO84" s="9"/>
      <c r="AP84" s="7"/>
      <c r="AQ84" s="7"/>
      <c r="AR84" s="8"/>
      <c r="AS84" s="8"/>
      <c r="AT84" s="12"/>
      <c r="AU84" s="12"/>
      <c r="AV84" s="50"/>
      <c r="AW84" s="50"/>
      <c r="AX84" s="50"/>
      <c r="AY84" s="12"/>
      <c r="AZ84" s="12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1"/>
      <c r="BT84" s="1"/>
      <c r="BU84" s="1"/>
      <c r="BV84" s="1"/>
      <c r="BW84" s="1"/>
      <c r="BY84" s="1">
        <f t="shared" si="128"/>
        <v>0</v>
      </c>
      <c r="BZ84" s="1">
        <f t="shared" si="126"/>
        <v>0</v>
      </c>
      <c r="CA84" s="1">
        <f t="shared" si="127"/>
        <v>0</v>
      </c>
    </row>
    <row r="85" spans="1:79" s="21" customFormat="1" ht="15" hidden="1" customHeight="1" x14ac:dyDescent="0.25">
      <c r="A85" s="7"/>
      <c r="B85" s="7"/>
      <c r="C85" s="21">
        <f>+C79*C82</f>
        <v>161855.20000000001</v>
      </c>
      <c r="D85" s="21">
        <f>+D79*D82</f>
        <v>843600</v>
      </c>
      <c r="I85" s="10" t="e">
        <f>+C85-#REF!</f>
        <v>#REF!</v>
      </c>
      <c r="J85" s="10" t="e">
        <f>+D85-#REF!</f>
        <v>#REF!</v>
      </c>
      <c r="AO85" s="9"/>
      <c r="AP85" s="7"/>
      <c r="AQ85" s="7"/>
      <c r="AR85" s="8"/>
      <c r="AS85" s="8"/>
      <c r="AT85" s="12"/>
      <c r="AU85" s="12"/>
      <c r="AV85" s="50"/>
      <c r="AW85" s="50"/>
      <c r="AX85" s="50"/>
      <c r="AY85" s="12"/>
      <c r="AZ85" s="12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1"/>
      <c r="BT85" s="1"/>
      <c r="BU85" s="1"/>
      <c r="BV85" s="1"/>
      <c r="BW85" s="1"/>
      <c r="BY85" s="1">
        <f t="shared" si="128"/>
        <v>0</v>
      </c>
      <c r="BZ85" s="1">
        <f t="shared" si="126"/>
        <v>0</v>
      </c>
      <c r="CA85" s="1">
        <f t="shared" si="127"/>
        <v>0</v>
      </c>
    </row>
    <row r="86" spans="1:79" s="21" customFormat="1" ht="30" hidden="1" customHeight="1" x14ac:dyDescent="0.25">
      <c r="A86" s="7"/>
      <c r="B86" s="7"/>
      <c r="I86" s="10" t="e">
        <f>+C86-#REF!</f>
        <v>#REF!</v>
      </c>
      <c r="J86" s="10" t="e">
        <f>+D86-#REF!</f>
        <v>#REF!</v>
      </c>
      <c r="L86" s="21" t="s">
        <v>8</v>
      </c>
      <c r="M86" s="21">
        <v>3.4499999999999996E-2</v>
      </c>
      <c r="AA86" s="21" t="s">
        <v>8</v>
      </c>
      <c r="AB86" s="21">
        <v>3.4499999999999996E-2</v>
      </c>
      <c r="AL86" s="21">
        <f>+M86*100</f>
        <v>3.4499999999999997</v>
      </c>
      <c r="AO86" s="9"/>
      <c r="AP86" s="7"/>
      <c r="AQ86" s="7"/>
      <c r="AR86" s="8"/>
      <c r="AS86" s="8"/>
      <c r="AT86" s="12"/>
      <c r="AU86" s="12"/>
      <c r="AV86" s="50"/>
      <c r="AW86" s="50"/>
      <c r="AX86" s="50"/>
      <c r="AY86" s="12"/>
      <c r="AZ86" s="12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1"/>
      <c r="BT86" s="1"/>
      <c r="BU86" s="1"/>
      <c r="BV86" s="1"/>
      <c r="BW86" s="1"/>
      <c r="BY86" s="1">
        <f t="shared" si="128"/>
        <v>-3.4499999999999997</v>
      </c>
      <c r="BZ86" s="1">
        <f t="shared" si="126"/>
        <v>0</v>
      </c>
      <c r="CA86" s="1">
        <f t="shared" si="127"/>
        <v>0</v>
      </c>
    </row>
    <row r="87" spans="1:79" s="21" customFormat="1" ht="30" hidden="1" customHeight="1" x14ac:dyDescent="0.25">
      <c r="A87" s="7"/>
      <c r="B87" s="7"/>
      <c r="I87" s="10" t="e">
        <f>+C87-#REF!</f>
        <v>#REF!</v>
      </c>
      <c r="J87" s="10" t="e">
        <f>+D87-#REF!</f>
        <v>#REF!</v>
      </c>
      <c r="L87" s="21" t="s">
        <v>12</v>
      </c>
      <c r="M87" s="21">
        <v>2.5000000000000001E-3</v>
      </c>
      <c r="AA87" s="21" t="s">
        <v>12</v>
      </c>
      <c r="AB87" s="21">
        <v>2.5000000000000001E-3</v>
      </c>
      <c r="AL87" s="21">
        <f>+M87*100</f>
        <v>0.25</v>
      </c>
      <c r="AO87" s="9"/>
      <c r="AP87" s="7"/>
      <c r="AQ87" s="7"/>
      <c r="AR87" s="8"/>
      <c r="AS87" s="8"/>
      <c r="AT87" s="12"/>
      <c r="AU87" s="12"/>
      <c r="AV87" s="50"/>
      <c r="AW87" s="50"/>
      <c r="AX87" s="50"/>
      <c r="AY87" s="12"/>
      <c r="AZ87" s="12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1"/>
      <c r="BT87" s="1"/>
      <c r="BU87" s="1"/>
      <c r="BV87" s="1"/>
      <c r="BW87" s="1"/>
      <c r="BY87" s="1">
        <f t="shared" si="128"/>
        <v>-0.25</v>
      </c>
      <c r="BZ87" s="1">
        <f t="shared" si="126"/>
        <v>0</v>
      </c>
      <c r="CA87" s="1">
        <f t="shared" si="127"/>
        <v>0</v>
      </c>
    </row>
    <row r="88" spans="1:79" s="21" customFormat="1" ht="15" hidden="1" customHeight="1" x14ac:dyDescent="0.25">
      <c r="A88" s="7"/>
      <c r="B88" s="7"/>
      <c r="I88" s="10" t="e">
        <f>+C88-#REF!</f>
        <v>#REF!</v>
      </c>
      <c r="J88" s="10" t="e">
        <f>+D88-#REF!</f>
        <v>#REF!</v>
      </c>
      <c r="L88" s="21" t="s">
        <v>13</v>
      </c>
      <c r="M88" s="21">
        <v>6.4999999999999997E-3</v>
      </c>
      <c r="AA88" s="21" t="s">
        <v>13</v>
      </c>
      <c r="AB88" s="21">
        <v>6.4999999999999997E-3</v>
      </c>
      <c r="AL88" s="21">
        <f>+M88*100</f>
        <v>0.65</v>
      </c>
      <c r="AO88" s="9"/>
      <c r="AP88" s="7"/>
      <c r="AQ88" s="7"/>
      <c r="AR88" s="8"/>
      <c r="AS88" s="8"/>
      <c r="AT88" s="12"/>
      <c r="AU88" s="12"/>
      <c r="AV88" s="50"/>
      <c r="AW88" s="50"/>
      <c r="AX88" s="50"/>
      <c r="AY88" s="12"/>
      <c r="AZ88" s="12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1"/>
      <c r="BT88" s="1"/>
      <c r="BU88" s="1"/>
      <c r="BV88" s="1"/>
      <c r="BW88" s="1"/>
      <c r="BY88" s="1">
        <f t="shared" si="128"/>
        <v>-0.65</v>
      </c>
      <c r="BZ88" s="1">
        <f t="shared" si="126"/>
        <v>0</v>
      </c>
      <c r="CA88" s="1">
        <f t="shared" si="127"/>
        <v>0</v>
      </c>
    </row>
    <row r="89" spans="1:79" s="21" customFormat="1" ht="30" hidden="1" customHeight="1" x14ac:dyDescent="0.25">
      <c r="A89" s="7"/>
      <c r="B89" s="7"/>
      <c r="C89" s="21">
        <f>-1+0.047</f>
        <v>-0.95299999999999996</v>
      </c>
      <c r="I89" s="10" t="e">
        <f>+C89-#REF!</f>
        <v>#REF!</v>
      </c>
      <c r="J89" s="10" t="e">
        <f>+D89-#REF!</f>
        <v>#REF!</v>
      </c>
      <c r="L89" s="21" t="s">
        <v>9</v>
      </c>
      <c r="M89" s="21">
        <v>3.0000000000000001E-3</v>
      </c>
      <c r="AA89" s="21" t="s">
        <v>9</v>
      </c>
      <c r="AB89" s="21">
        <v>3.0000000000000001E-3</v>
      </c>
      <c r="AL89" s="21">
        <f>+M89*100</f>
        <v>0.3</v>
      </c>
      <c r="AO89" s="9"/>
      <c r="AP89" s="7"/>
      <c r="AQ89" s="7"/>
      <c r="AR89" s="8"/>
      <c r="AS89" s="8"/>
      <c r="AT89" s="12"/>
      <c r="AU89" s="12"/>
      <c r="AV89" s="50"/>
      <c r="AW89" s="50"/>
      <c r="AX89" s="50"/>
      <c r="AY89" s="12"/>
      <c r="AZ89" s="12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1"/>
      <c r="BT89" s="1"/>
      <c r="BU89" s="1"/>
      <c r="BV89" s="1"/>
      <c r="BW89" s="1"/>
      <c r="BY89" s="1">
        <f t="shared" si="128"/>
        <v>-0.3</v>
      </c>
      <c r="BZ89" s="1">
        <f t="shared" si="126"/>
        <v>0</v>
      </c>
      <c r="CA89" s="1">
        <f t="shared" si="127"/>
        <v>0</v>
      </c>
    </row>
    <row r="90" spans="1:79" s="21" customFormat="1" ht="30" hidden="1" customHeight="1" x14ac:dyDescent="0.25">
      <c r="A90" s="7"/>
      <c r="B90" s="7"/>
      <c r="C90" s="21">
        <f>+C89*C71</f>
        <v>-62516800</v>
      </c>
      <c r="I90" s="10" t="e">
        <f>+C90-#REF!</f>
        <v>#REF!</v>
      </c>
      <c r="J90" s="10" t="e">
        <f>+D90-#REF!</f>
        <v>#REF!</v>
      </c>
      <c r="L90" s="21" t="s">
        <v>14</v>
      </c>
      <c r="M90" s="21">
        <v>3.5000000000000001E-3</v>
      </c>
      <c r="AA90" s="21" t="s">
        <v>14</v>
      </c>
      <c r="AB90" s="21">
        <v>3.5000000000000001E-3</v>
      </c>
      <c r="AL90" s="21">
        <f>+M90*100</f>
        <v>0.35000000000000003</v>
      </c>
      <c r="AO90" s="9"/>
      <c r="AP90" s="7"/>
      <c r="AQ90" s="7"/>
      <c r="AR90" s="8"/>
      <c r="AS90" s="8"/>
      <c r="AT90" s="12"/>
      <c r="AU90" s="12"/>
      <c r="AV90" s="50"/>
      <c r="AW90" s="50"/>
      <c r="AX90" s="50"/>
      <c r="AY90" s="12"/>
      <c r="AZ90" s="12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1"/>
      <c r="BT90" s="1"/>
      <c r="BU90" s="1"/>
      <c r="BV90" s="1"/>
      <c r="BW90" s="1"/>
      <c r="BY90" s="1">
        <f t="shared" si="128"/>
        <v>-0.35000000000000003</v>
      </c>
      <c r="BZ90" s="1">
        <f t="shared" si="126"/>
        <v>0</v>
      </c>
      <c r="CA90" s="1">
        <f t="shared" si="127"/>
        <v>0</v>
      </c>
    </row>
    <row r="91" spans="1:79" s="21" customFormat="1" ht="15" hidden="1" customHeight="1" x14ac:dyDescent="0.25">
      <c r="A91" s="7"/>
      <c r="B91" s="7"/>
      <c r="I91" s="10" t="e">
        <f>+C91-#REF!</f>
        <v>#REF!</v>
      </c>
      <c r="J91" s="10" t="e">
        <f>+D91-#REF!</f>
        <v>#REF!</v>
      </c>
      <c r="AO91" s="9"/>
      <c r="AP91" s="7"/>
      <c r="AQ91" s="7"/>
      <c r="AR91" s="8"/>
      <c r="AS91" s="8"/>
      <c r="AT91" s="12"/>
      <c r="AU91" s="12"/>
      <c r="AV91" s="50"/>
      <c r="AW91" s="50"/>
      <c r="AX91" s="50"/>
      <c r="AY91" s="12"/>
      <c r="AZ91" s="12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1"/>
      <c r="BT91" s="1"/>
      <c r="BU91" s="1"/>
      <c r="BV91" s="1"/>
      <c r="BW91" s="1"/>
      <c r="BY91" s="1">
        <f t="shared" si="128"/>
        <v>0</v>
      </c>
      <c r="BZ91" s="1">
        <f t="shared" si="126"/>
        <v>0</v>
      </c>
      <c r="CA91" s="1">
        <f t="shared" si="127"/>
        <v>0</v>
      </c>
    </row>
    <row r="92" spans="1:79" s="21" customFormat="1" ht="15" hidden="1" customHeight="1" x14ac:dyDescent="0.25">
      <c r="A92" s="7"/>
      <c r="B92" s="7"/>
      <c r="I92" s="10" t="e">
        <f>+C92-#REF!</f>
        <v>#REF!</v>
      </c>
      <c r="J92" s="10" t="e">
        <f>+D92-#REF!</f>
        <v>#REF!</v>
      </c>
      <c r="AO92" s="9"/>
      <c r="AP92" s="7"/>
      <c r="AQ92" s="7"/>
      <c r="AR92" s="8"/>
      <c r="AS92" s="8"/>
      <c r="AT92" s="12"/>
      <c r="AU92" s="12"/>
      <c r="AV92" s="50"/>
      <c r="AW92" s="50"/>
      <c r="AX92" s="50"/>
      <c r="AY92" s="12"/>
      <c r="AZ92" s="12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1"/>
      <c r="BT92" s="1"/>
      <c r="BU92" s="1"/>
      <c r="BV92" s="1"/>
      <c r="BW92" s="1"/>
      <c r="BY92" s="1">
        <f t="shared" si="128"/>
        <v>0</v>
      </c>
      <c r="BZ92" s="1">
        <f t="shared" si="126"/>
        <v>0</v>
      </c>
      <c r="CA92" s="1">
        <f t="shared" si="127"/>
        <v>0</v>
      </c>
    </row>
    <row r="93" spans="1:79" s="21" customFormat="1" ht="15" hidden="1" customHeight="1" x14ac:dyDescent="0.25">
      <c r="A93" s="7"/>
      <c r="B93" s="7"/>
      <c r="I93" s="10" t="e">
        <f>+C93-#REF!</f>
        <v>#REF!</v>
      </c>
      <c r="J93" s="10" t="e">
        <f>+D93-#REF!</f>
        <v>#REF!</v>
      </c>
      <c r="AO93" s="9"/>
      <c r="AP93" s="7"/>
      <c r="AQ93" s="7"/>
      <c r="AR93" s="8"/>
      <c r="AS93" s="8"/>
      <c r="AT93" s="12"/>
      <c r="AU93" s="12"/>
      <c r="AV93" s="50"/>
      <c r="AW93" s="50"/>
      <c r="AX93" s="50"/>
      <c r="AY93" s="12"/>
      <c r="AZ93" s="12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1"/>
      <c r="BT93" s="1"/>
      <c r="BU93" s="1"/>
      <c r="BV93" s="1"/>
      <c r="BW93" s="1"/>
      <c r="BY93" s="1">
        <f t="shared" si="128"/>
        <v>0</v>
      </c>
      <c r="BZ93" s="1">
        <f t="shared" si="126"/>
        <v>0</v>
      </c>
      <c r="CA93" s="1">
        <f t="shared" si="127"/>
        <v>0</v>
      </c>
    </row>
    <row r="94" spans="1:79" s="21" customFormat="1" ht="15" hidden="1" customHeight="1" x14ac:dyDescent="0.25">
      <c r="A94" s="7"/>
      <c r="B94" s="7"/>
      <c r="I94" s="10" t="e">
        <f>+C94-#REF!</f>
        <v>#REF!</v>
      </c>
      <c r="J94" s="10" t="e">
        <f>+D94-#REF!</f>
        <v>#REF!</v>
      </c>
      <c r="AO94" s="9"/>
      <c r="AP94" s="7"/>
      <c r="AQ94" s="7"/>
      <c r="AR94" s="8"/>
      <c r="AS94" s="8"/>
      <c r="AT94" s="12"/>
      <c r="AU94" s="12"/>
      <c r="AV94" s="50"/>
      <c r="AW94" s="50"/>
      <c r="AX94" s="50"/>
      <c r="AY94" s="12"/>
      <c r="AZ94" s="12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1"/>
      <c r="BT94" s="1"/>
      <c r="BU94" s="1"/>
      <c r="BV94" s="1"/>
      <c r="BW94" s="1"/>
      <c r="BY94" s="1">
        <f t="shared" si="128"/>
        <v>0</v>
      </c>
      <c r="BZ94" s="1">
        <f t="shared" si="126"/>
        <v>0</v>
      </c>
      <c r="CA94" s="1">
        <f t="shared" si="127"/>
        <v>0</v>
      </c>
    </row>
    <row r="95" spans="1:79" s="21" customFormat="1" ht="15" hidden="1" customHeight="1" x14ac:dyDescent="0.25">
      <c r="A95" s="7"/>
      <c r="B95" s="7"/>
      <c r="I95" s="10" t="e">
        <f>+C95-#REF!</f>
        <v>#REF!</v>
      </c>
      <c r="J95" s="10" t="e">
        <f>+D95-#REF!</f>
        <v>#REF!</v>
      </c>
      <c r="AO95" s="9"/>
      <c r="AP95" s="7"/>
      <c r="AQ95" s="7"/>
      <c r="AR95" s="8"/>
      <c r="AS95" s="8"/>
      <c r="AT95" s="12"/>
      <c r="AU95" s="12"/>
      <c r="AV95" s="50"/>
      <c r="AW95" s="50"/>
      <c r="AX95" s="50"/>
      <c r="AY95" s="12"/>
      <c r="AZ95" s="12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"/>
      <c r="BT95" s="1"/>
      <c r="BU95" s="1"/>
      <c r="BV95" s="1"/>
      <c r="BW95" s="1"/>
      <c r="BY95" s="1">
        <f t="shared" si="128"/>
        <v>0</v>
      </c>
      <c r="BZ95" s="1">
        <f t="shared" si="126"/>
        <v>0</v>
      </c>
      <c r="CA95" s="1">
        <f t="shared" si="127"/>
        <v>0</v>
      </c>
    </row>
    <row r="96" spans="1:79" s="21" customFormat="1" ht="15" hidden="1" customHeight="1" x14ac:dyDescent="0.25">
      <c r="A96" s="7"/>
      <c r="B96" s="7"/>
      <c r="I96" s="10" t="e">
        <f>+C96-#REF!</f>
        <v>#REF!</v>
      </c>
      <c r="J96" s="10" t="e">
        <f>+D96-#REF!</f>
        <v>#REF!</v>
      </c>
      <c r="AO96" s="9"/>
      <c r="AP96" s="7"/>
      <c r="AQ96" s="7"/>
      <c r="AR96" s="8"/>
      <c r="AS96" s="8"/>
      <c r="AT96" s="12"/>
      <c r="AU96" s="12"/>
      <c r="AV96" s="50"/>
      <c r="AW96" s="50"/>
      <c r="AX96" s="50"/>
      <c r="AY96" s="12"/>
      <c r="AZ96" s="12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1"/>
      <c r="BT96" s="1"/>
      <c r="BU96" s="1"/>
      <c r="BV96" s="1"/>
      <c r="BW96" s="1"/>
      <c r="BY96" s="1">
        <f t="shared" si="128"/>
        <v>0</v>
      </c>
      <c r="BZ96" s="1">
        <f t="shared" si="126"/>
        <v>0</v>
      </c>
      <c r="CA96" s="1">
        <f t="shared" si="127"/>
        <v>0</v>
      </c>
    </row>
    <row r="97" spans="1:79" s="21" customFormat="1" ht="15" hidden="1" customHeight="1" x14ac:dyDescent="0.25">
      <c r="A97" s="7"/>
      <c r="B97" s="7"/>
      <c r="I97" s="10" t="e">
        <f>+C97-#REF!</f>
        <v>#REF!</v>
      </c>
      <c r="J97" s="10" t="e">
        <f>+D97-#REF!</f>
        <v>#REF!</v>
      </c>
      <c r="AO97" s="9"/>
      <c r="AP97" s="7"/>
      <c r="AQ97" s="7"/>
      <c r="AR97" s="8"/>
      <c r="AS97" s="8"/>
      <c r="AT97" s="12"/>
      <c r="AU97" s="12"/>
      <c r="AV97" s="50"/>
      <c r="AW97" s="50"/>
      <c r="AX97" s="50"/>
      <c r="AY97" s="12"/>
      <c r="AZ97" s="12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1"/>
      <c r="BT97" s="1"/>
      <c r="BU97" s="1"/>
      <c r="BV97" s="1"/>
      <c r="BW97" s="1"/>
      <c r="BY97" s="1">
        <f t="shared" si="128"/>
        <v>0</v>
      </c>
      <c r="BZ97" s="1">
        <f t="shared" si="126"/>
        <v>0</v>
      </c>
      <c r="CA97" s="1">
        <f t="shared" si="127"/>
        <v>0</v>
      </c>
    </row>
    <row r="98" spans="1:79" s="21" customFormat="1" ht="15" hidden="1" customHeight="1" x14ac:dyDescent="0.25">
      <c r="A98" s="7"/>
      <c r="B98" s="7"/>
      <c r="I98" s="10" t="e">
        <f>+C98-#REF!</f>
        <v>#REF!</v>
      </c>
      <c r="J98" s="10" t="e">
        <f>+D98-#REF!</f>
        <v>#REF!</v>
      </c>
      <c r="AO98" s="9"/>
      <c r="AP98" s="7"/>
      <c r="AQ98" s="7"/>
      <c r="AR98" s="8"/>
      <c r="AS98" s="8"/>
      <c r="AT98" s="12"/>
      <c r="AU98" s="12"/>
      <c r="AV98" s="50"/>
      <c r="AW98" s="50"/>
      <c r="AX98" s="50"/>
      <c r="AY98" s="12"/>
      <c r="AZ98" s="12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1"/>
      <c r="BT98" s="1"/>
      <c r="BU98" s="1"/>
      <c r="BV98" s="1"/>
      <c r="BW98" s="1"/>
      <c r="BY98" s="1">
        <f t="shared" si="128"/>
        <v>0</v>
      </c>
      <c r="BZ98" s="1">
        <f t="shared" si="126"/>
        <v>0</v>
      </c>
      <c r="CA98" s="1">
        <f t="shared" si="127"/>
        <v>0</v>
      </c>
    </row>
    <row r="99" spans="1:79" s="21" customFormat="1" ht="15" hidden="1" customHeight="1" x14ac:dyDescent="0.25">
      <c r="A99" s="7"/>
      <c r="B99" s="7"/>
      <c r="I99" s="10" t="e">
        <f>+C99-#REF!</f>
        <v>#REF!</v>
      </c>
      <c r="J99" s="10" t="e">
        <f>+D99-#REF!</f>
        <v>#REF!</v>
      </c>
      <c r="AO99" s="9"/>
      <c r="AP99" s="7"/>
      <c r="AQ99" s="7"/>
      <c r="AR99" s="8"/>
      <c r="AS99" s="8"/>
      <c r="AT99" s="12"/>
      <c r="AU99" s="12"/>
      <c r="AV99" s="50"/>
      <c r="AW99" s="50"/>
      <c r="AX99" s="50"/>
      <c r="AY99" s="12"/>
      <c r="AZ99" s="12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1"/>
      <c r="BT99" s="1"/>
      <c r="BU99" s="1"/>
      <c r="BV99" s="1"/>
      <c r="BW99" s="1"/>
      <c r="BY99" s="1">
        <f t="shared" si="128"/>
        <v>0</v>
      </c>
      <c r="BZ99" s="1">
        <f t="shared" si="126"/>
        <v>0</v>
      </c>
      <c r="CA99" s="1">
        <f t="shared" si="127"/>
        <v>0</v>
      </c>
    </row>
    <row r="100" spans="1:79" s="21" customFormat="1" ht="15" hidden="1" customHeight="1" x14ac:dyDescent="0.25">
      <c r="A100" s="7"/>
      <c r="B100" s="7"/>
      <c r="C100" s="21">
        <v>87300000</v>
      </c>
      <c r="D100" s="21">
        <v>21825000</v>
      </c>
      <c r="I100" s="10" t="e">
        <f>+C100-#REF!</f>
        <v>#REF!</v>
      </c>
      <c r="J100" s="10" t="e">
        <f>+D100-#REF!</f>
        <v>#REF!</v>
      </c>
      <c r="AO100" s="9"/>
      <c r="AP100" s="7"/>
      <c r="AQ100" s="7"/>
      <c r="AR100" s="8"/>
      <c r="AS100" s="8"/>
      <c r="AT100" s="12"/>
      <c r="AU100" s="12"/>
      <c r="AV100" s="50"/>
      <c r="AW100" s="50"/>
      <c r="AX100" s="50"/>
      <c r="AY100" s="12"/>
      <c r="AZ100" s="12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1"/>
      <c r="BT100" s="1"/>
      <c r="BU100" s="1"/>
      <c r="BV100" s="1"/>
      <c r="BW100" s="1"/>
      <c r="BY100" s="1">
        <f t="shared" si="128"/>
        <v>0</v>
      </c>
      <c r="BZ100" s="1">
        <f t="shared" si="126"/>
        <v>0</v>
      </c>
      <c r="CA100" s="1">
        <f t="shared" si="127"/>
        <v>0</v>
      </c>
    </row>
    <row r="101" spans="1:79" s="21" customFormat="1" ht="15" hidden="1" customHeight="1" x14ac:dyDescent="0.25">
      <c r="A101" s="7"/>
      <c r="B101" s="7"/>
      <c r="C101" s="21">
        <v>48031544</v>
      </c>
      <c r="D101" s="21">
        <v>12007886</v>
      </c>
      <c r="I101" s="10" t="e">
        <f>+C101-#REF!</f>
        <v>#REF!</v>
      </c>
      <c r="J101" s="10" t="e">
        <f>+D101-#REF!</f>
        <v>#REF!</v>
      </c>
      <c r="AO101" s="9"/>
      <c r="AP101" s="7"/>
      <c r="AQ101" s="7"/>
      <c r="AR101" s="8"/>
      <c r="AS101" s="8"/>
      <c r="AT101" s="12"/>
      <c r="AU101" s="12"/>
      <c r="AV101" s="50"/>
      <c r="AW101" s="50"/>
      <c r="AX101" s="50"/>
      <c r="AY101" s="12"/>
      <c r="AZ101" s="12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1"/>
      <c r="BT101" s="1"/>
      <c r="BU101" s="1"/>
      <c r="BV101" s="1"/>
      <c r="BW101" s="1"/>
      <c r="BY101" s="1">
        <f t="shared" si="128"/>
        <v>0</v>
      </c>
      <c r="BZ101" s="1">
        <f t="shared" si="126"/>
        <v>0</v>
      </c>
      <c r="CA101" s="1">
        <f t="shared" si="127"/>
        <v>0</v>
      </c>
    </row>
    <row r="102" spans="1:79" s="21" customFormat="1" ht="15" hidden="1" customHeight="1" x14ac:dyDescent="0.25">
      <c r="A102" s="7"/>
      <c r="B102" s="7"/>
      <c r="C102" s="21">
        <v>32021030</v>
      </c>
      <c r="D102" s="21">
        <v>8005258</v>
      </c>
      <c r="I102" s="10" t="e">
        <f>+C102-#REF!</f>
        <v>#REF!</v>
      </c>
      <c r="J102" s="10" t="e">
        <f>+D102-#REF!</f>
        <v>#REF!</v>
      </c>
      <c r="AO102" s="9"/>
      <c r="AP102" s="7"/>
      <c r="AQ102" s="7"/>
      <c r="AR102" s="8"/>
      <c r="AS102" s="8"/>
      <c r="AT102" s="12"/>
      <c r="AU102" s="12"/>
      <c r="AV102" s="50"/>
      <c r="AW102" s="50"/>
      <c r="AX102" s="50"/>
      <c r="AY102" s="12"/>
      <c r="AZ102" s="12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1"/>
      <c r="BT102" s="1"/>
      <c r="BU102" s="1"/>
      <c r="BV102" s="1"/>
      <c r="BW102" s="1"/>
      <c r="BY102" s="1">
        <f t="shared" si="128"/>
        <v>0</v>
      </c>
      <c r="BZ102" s="1">
        <f t="shared" si="126"/>
        <v>0</v>
      </c>
      <c r="CA102" s="1">
        <f t="shared" si="127"/>
        <v>0</v>
      </c>
    </row>
    <row r="103" spans="1:79" s="21" customFormat="1" ht="15" hidden="1" customHeight="1" x14ac:dyDescent="0.25">
      <c r="A103" s="7"/>
      <c r="B103" s="7"/>
      <c r="C103" s="21">
        <v>7247426</v>
      </c>
      <c r="D103" s="21">
        <v>1811856</v>
      </c>
      <c r="I103" s="10" t="e">
        <f>+C103-#REF!</f>
        <v>#REF!</v>
      </c>
      <c r="J103" s="10" t="e">
        <f>+D103-#REF!</f>
        <v>#REF!</v>
      </c>
      <c r="AO103" s="9"/>
      <c r="AP103" s="7"/>
      <c r="AQ103" s="7"/>
      <c r="AR103" s="8"/>
      <c r="AS103" s="8"/>
      <c r="AT103" s="12"/>
      <c r="AU103" s="12"/>
      <c r="AV103" s="50"/>
      <c r="AW103" s="50"/>
      <c r="AX103" s="50"/>
      <c r="AY103" s="12"/>
      <c r="AZ103" s="12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1"/>
      <c r="BT103" s="1"/>
      <c r="BU103" s="1"/>
      <c r="BV103" s="1"/>
      <c r="BW103" s="1"/>
      <c r="BY103" s="1">
        <f t="shared" si="128"/>
        <v>0</v>
      </c>
      <c r="BZ103" s="1">
        <f t="shared" si="126"/>
        <v>0</v>
      </c>
      <c r="CA103" s="1">
        <f t="shared" si="127"/>
        <v>0</v>
      </c>
    </row>
    <row r="104" spans="1:79" s="21" customFormat="1" ht="15" hidden="1" customHeight="1" x14ac:dyDescent="0.25">
      <c r="A104" s="7"/>
      <c r="B104" s="7"/>
      <c r="I104" s="10" t="e">
        <f>+C104-#REF!</f>
        <v>#REF!</v>
      </c>
      <c r="J104" s="10" t="e">
        <f>+D104-#REF!</f>
        <v>#REF!</v>
      </c>
      <c r="AO104" s="9"/>
      <c r="AP104" s="7"/>
      <c r="AQ104" s="7"/>
      <c r="AR104" s="8"/>
      <c r="AS104" s="8"/>
      <c r="AT104" s="12"/>
      <c r="AU104" s="12"/>
      <c r="AV104" s="50"/>
      <c r="AW104" s="50"/>
      <c r="AX104" s="50"/>
      <c r="AY104" s="12"/>
      <c r="AZ104" s="12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1"/>
      <c r="BT104" s="1"/>
      <c r="BU104" s="1"/>
      <c r="BV104" s="1"/>
      <c r="BW104" s="1"/>
      <c r="BY104" s="1">
        <f t="shared" si="128"/>
        <v>0</v>
      </c>
      <c r="BZ104" s="1">
        <f t="shared" si="126"/>
        <v>0</v>
      </c>
      <c r="CA104" s="1">
        <f t="shared" si="127"/>
        <v>0</v>
      </c>
    </row>
    <row r="105" spans="1:79" s="21" customFormat="1" ht="15" hidden="1" customHeight="1" x14ac:dyDescent="0.25">
      <c r="A105" s="7"/>
      <c r="B105" s="7"/>
      <c r="I105" s="10" t="e">
        <f>+C105-#REF!</f>
        <v>#REF!</v>
      </c>
      <c r="J105" s="10" t="e">
        <f>+D105-#REF!</f>
        <v>#REF!</v>
      </c>
      <c r="AO105" s="9"/>
      <c r="AP105" s="7"/>
      <c r="AQ105" s="7"/>
      <c r="AR105" s="8"/>
      <c r="AS105" s="8"/>
      <c r="AT105" s="12"/>
      <c r="AU105" s="12"/>
      <c r="AV105" s="50"/>
      <c r="AW105" s="50"/>
      <c r="AX105" s="50"/>
      <c r="AY105" s="12"/>
      <c r="AZ105" s="12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1"/>
      <c r="BT105" s="1"/>
      <c r="BU105" s="1"/>
      <c r="BV105" s="1"/>
      <c r="BW105" s="1"/>
      <c r="BY105" s="1">
        <f t="shared" si="128"/>
        <v>0</v>
      </c>
      <c r="BZ105" s="1">
        <f t="shared" si="126"/>
        <v>0</v>
      </c>
      <c r="CA105" s="1">
        <f t="shared" si="127"/>
        <v>0</v>
      </c>
    </row>
    <row r="106" spans="1:79" s="21" customFormat="1" ht="15" hidden="1" customHeight="1" x14ac:dyDescent="0.25">
      <c r="A106" s="7"/>
      <c r="B106" s="7"/>
      <c r="C106" s="21">
        <f>+C101/C100</f>
        <v>0.55018950744558992</v>
      </c>
      <c r="D106" s="21">
        <f>+D101/D100</f>
        <v>0.55018950744558992</v>
      </c>
      <c r="I106" s="10" t="e">
        <f>+C106-#REF!</f>
        <v>#REF!</v>
      </c>
      <c r="J106" s="10" t="e">
        <f>+D106-#REF!</f>
        <v>#REF!</v>
      </c>
      <c r="AO106" s="9"/>
      <c r="AP106" s="7"/>
      <c r="AQ106" s="7"/>
      <c r="AR106" s="8"/>
      <c r="AS106" s="8"/>
      <c r="AT106" s="12"/>
      <c r="AU106" s="12"/>
      <c r="AV106" s="50"/>
      <c r="AW106" s="50"/>
      <c r="AX106" s="50"/>
      <c r="AY106" s="12"/>
      <c r="AZ106" s="12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1"/>
      <c r="BT106" s="1"/>
      <c r="BU106" s="1"/>
      <c r="BV106" s="1"/>
      <c r="BW106" s="1"/>
      <c r="BY106" s="1">
        <f t="shared" si="128"/>
        <v>0</v>
      </c>
      <c r="BZ106" s="1">
        <f t="shared" si="126"/>
        <v>0</v>
      </c>
      <c r="CA106" s="1">
        <f t="shared" si="127"/>
        <v>0</v>
      </c>
    </row>
    <row r="107" spans="1:79" s="21" customFormat="1" ht="15" hidden="1" customHeight="1" x14ac:dyDescent="0.25">
      <c r="A107" s="7"/>
      <c r="B107" s="7"/>
      <c r="C107" s="21">
        <f>+C102/C100</f>
        <v>0.36679301260022912</v>
      </c>
      <c r="D107" s="21">
        <f>+D102/D100</f>
        <v>0.36679303550973652</v>
      </c>
      <c r="I107" s="10" t="e">
        <f>+C107-#REF!</f>
        <v>#REF!</v>
      </c>
      <c r="J107" s="10" t="e">
        <f>+D107-#REF!</f>
        <v>#REF!</v>
      </c>
      <c r="AO107" s="9"/>
      <c r="AP107" s="7"/>
      <c r="AQ107" s="7"/>
      <c r="AR107" s="8"/>
      <c r="AS107" s="8"/>
      <c r="AT107" s="12"/>
      <c r="AU107" s="12"/>
      <c r="AV107" s="50"/>
      <c r="AW107" s="50"/>
      <c r="AX107" s="50"/>
      <c r="AY107" s="12"/>
      <c r="AZ107" s="12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1"/>
      <c r="BT107" s="1"/>
      <c r="BU107" s="1"/>
      <c r="BV107" s="1"/>
      <c r="BW107" s="1"/>
      <c r="BY107" s="1">
        <f t="shared" si="128"/>
        <v>0</v>
      </c>
      <c r="BZ107" s="1">
        <f t="shared" si="126"/>
        <v>0</v>
      </c>
      <c r="CA107" s="1">
        <f t="shared" si="127"/>
        <v>0</v>
      </c>
    </row>
    <row r="108" spans="1:79" s="21" customFormat="1" ht="15" hidden="1" customHeight="1" x14ac:dyDescent="0.25">
      <c r="A108" s="7"/>
      <c r="B108" s="7"/>
      <c r="C108" s="21">
        <f>+C103/C100</f>
        <v>8.3017479954180989E-2</v>
      </c>
      <c r="D108" s="21">
        <f>+D103/D100</f>
        <v>8.3017457044673545E-2</v>
      </c>
      <c r="I108" s="10" t="e">
        <f>+C108-#REF!</f>
        <v>#REF!</v>
      </c>
      <c r="J108" s="10" t="e">
        <f>+D108-#REF!</f>
        <v>#REF!</v>
      </c>
      <c r="AO108" s="9"/>
      <c r="AP108" s="7"/>
      <c r="AQ108" s="7"/>
      <c r="AR108" s="8"/>
      <c r="AS108" s="8"/>
      <c r="AT108" s="12"/>
      <c r="AU108" s="12"/>
      <c r="AV108" s="50"/>
      <c r="AW108" s="50"/>
      <c r="AX108" s="50"/>
      <c r="AY108" s="12"/>
      <c r="AZ108" s="12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1"/>
      <c r="BT108" s="1"/>
      <c r="BU108" s="1"/>
      <c r="BV108" s="1"/>
      <c r="BW108" s="1"/>
      <c r="BY108" s="1">
        <f t="shared" si="128"/>
        <v>0</v>
      </c>
      <c r="BZ108" s="1">
        <f t="shared" si="126"/>
        <v>0</v>
      </c>
      <c r="CA108" s="1">
        <f t="shared" si="127"/>
        <v>0</v>
      </c>
    </row>
    <row r="109" spans="1:79" s="21" customFormat="1" ht="15" hidden="1" customHeight="1" x14ac:dyDescent="0.25">
      <c r="A109" s="7"/>
      <c r="B109" s="7"/>
      <c r="I109" s="10" t="e">
        <f>+C109-#REF!</f>
        <v>#REF!</v>
      </c>
      <c r="J109" s="10" t="e">
        <f>+D109-#REF!</f>
        <v>#REF!</v>
      </c>
      <c r="AO109" s="9"/>
      <c r="AP109" s="7"/>
      <c r="AQ109" s="7"/>
      <c r="AR109" s="8"/>
      <c r="AS109" s="8"/>
      <c r="AT109" s="12"/>
      <c r="AU109" s="12"/>
      <c r="AV109" s="50"/>
      <c r="AW109" s="50"/>
      <c r="AX109" s="50"/>
      <c r="AY109" s="12"/>
      <c r="AZ109" s="12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1"/>
      <c r="BT109" s="1"/>
      <c r="BU109" s="1"/>
      <c r="BV109" s="1"/>
      <c r="BW109" s="1"/>
      <c r="BY109" s="1">
        <f t="shared" si="128"/>
        <v>0</v>
      </c>
      <c r="BZ109" s="1">
        <f t="shared" si="126"/>
        <v>0</v>
      </c>
      <c r="CA109" s="1">
        <f t="shared" si="127"/>
        <v>0</v>
      </c>
    </row>
    <row r="110" spans="1:79" s="21" customFormat="1" ht="15" hidden="1" customHeight="1" x14ac:dyDescent="0.25">
      <c r="A110" s="7"/>
      <c r="B110" s="7"/>
      <c r="I110" s="10" t="e">
        <f>+C110-#REF!</f>
        <v>#REF!</v>
      </c>
      <c r="J110" s="10" t="e">
        <f>+D110-#REF!</f>
        <v>#REF!</v>
      </c>
      <c r="AO110" s="9"/>
      <c r="AP110" s="7"/>
      <c r="AQ110" s="7"/>
      <c r="AR110" s="8"/>
      <c r="AS110" s="8"/>
      <c r="AT110" s="12"/>
      <c r="AU110" s="12"/>
      <c r="AV110" s="50"/>
      <c r="AW110" s="50"/>
      <c r="AX110" s="50"/>
      <c r="AY110" s="12"/>
      <c r="AZ110" s="12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1"/>
      <c r="BT110" s="1"/>
      <c r="BU110" s="1"/>
      <c r="BV110" s="1"/>
      <c r="BW110" s="1"/>
      <c r="BY110" s="1">
        <f t="shared" si="128"/>
        <v>0</v>
      </c>
      <c r="BZ110" s="1">
        <f t="shared" si="126"/>
        <v>0</v>
      </c>
      <c r="CA110" s="1">
        <f t="shared" si="127"/>
        <v>0</v>
      </c>
    </row>
    <row r="111" spans="1:79" s="21" customFormat="1" ht="15" hidden="1" customHeight="1" x14ac:dyDescent="0.25">
      <c r="A111" s="7"/>
      <c r="B111" s="7"/>
      <c r="C111" s="21">
        <f>+C100*0.04</f>
        <v>3492000</v>
      </c>
      <c r="D111" s="21">
        <f>+D100*0.04</f>
        <v>873000</v>
      </c>
      <c r="I111" s="10" t="e">
        <f>+C111-#REF!</f>
        <v>#REF!</v>
      </c>
      <c r="J111" s="10" t="e">
        <f>+D111-#REF!</f>
        <v>#REF!</v>
      </c>
      <c r="AO111" s="9"/>
      <c r="AP111" s="7"/>
      <c r="AQ111" s="7"/>
      <c r="AR111" s="8"/>
      <c r="AS111" s="8"/>
      <c r="AT111" s="12"/>
      <c r="AU111" s="12"/>
      <c r="AV111" s="50"/>
      <c r="AW111" s="50"/>
      <c r="AX111" s="50"/>
      <c r="AY111" s="12"/>
      <c r="AZ111" s="12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1"/>
      <c r="BT111" s="1"/>
      <c r="BU111" s="1"/>
      <c r="BV111" s="1"/>
      <c r="BW111" s="1"/>
      <c r="BY111" s="1">
        <f t="shared" si="128"/>
        <v>0</v>
      </c>
      <c r="BZ111" s="1">
        <f t="shared" si="126"/>
        <v>0</v>
      </c>
      <c r="CA111" s="1">
        <f t="shared" si="127"/>
        <v>0</v>
      </c>
    </row>
    <row r="112" spans="1:79" s="21" customFormat="1" ht="15" hidden="1" customHeight="1" x14ac:dyDescent="0.25">
      <c r="A112" s="7"/>
      <c r="B112" s="7"/>
      <c r="C112" s="21">
        <f>+C111*C106</f>
        <v>1921261.76</v>
      </c>
      <c r="D112" s="21">
        <f>+D111*D106</f>
        <v>480315.44</v>
      </c>
      <c r="I112" s="10" t="e">
        <f>+C112-#REF!</f>
        <v>#REF!</v>
      </c>
      <c r="J112" s="10" t="e">
        <f>+D112-#REF!</f>
        <v>#REF!</v>
      </c>
      <c r="AO112" s="9"/>
      <c r="AP112" s="7"/>
      <c r="AQ112" s="7"/>
      <c r="AR112" s="8"/>
      <c r="AS112" s="8"/>
      <c r="AT112" s="12"/>
      <c r="AU112" s="12"/>
      <c r="AV112" s="50"/>
      <c r="AW112" s="50"/>
      <c r="AX112" s="50"/>
      <c r="AY112" s="12"/>
      <c r="AZ112" s="12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1"/>
      <c r="BT112" s="1"/>
      <c r="BU112" s="1"/>
      <c r="BV112" s="1"/>
      <c r="BW112" s="1"/>
      <c r="BY112" s="1">
        <f t="shared" si="128"/>
        <v>0</v>
      </c>
      <c r="BZ112" s="1">
        <f t="shared" si="126"/>
        <v>0</v>
      </c>
      <c r="CA112" s="1">
        <f t="shared" si="127"/>
        <v>0</v>
      </c>
    </row>
    <row r="113" spans="1:79" s="21" customFormat="1" ht="15" hidden="1" customHeight="1" x14ac:dyDescent="0.25">
      <c r="A113" s="7"/>
      <c r="B113" s="7"/>
      <c r="C113" s="21">
        <f>+C107*C111</f>
        <v>1280841.2000000002</v>
      </c>
      <c r="D113" s="21">
        <f>+D107*D111</f>
        <v>320210.32</v>
      </c>
      <c r="I113" s="10" t="e">
        <f>+C113-#REF!</f>
        <v>#REF!</v>
      </c>
      <c r="J113" s="10" t="e">
        <f>+D113-#REF!</f>
        <v>#REF!</v>
      </c>
      <c r="AO113" s="9"/>
      <c r="AP113" s="7"/>
      <c r="AQ113" s="7"/>
      <c r="AR113" s="8"/>
      <c r="AS113" s="8"/>
      <c r="AT113" s="12"/>
      <c r="AU113" s="12"/>
      <c r="AV113" s="50"/>
      <c r="AW113" s="50"/>
      <c r="AX113" s="50"/>
      <c r="AY113" s="12"/>
      <c r="AZ113" s="12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1"/>
      <c r="BT113" s="1"/>
      <c r="BU113" s="1"/>
      <c r="BV113" s="1"/>
      <c r="BW113" s="1"/>
      <c r="BY113" s="1">
        <f t="shared" si="128"/>
        <v>0</v>
      </c>
      <c r="BZ113" s="1">
        <f t="shared" si="126"/>
        <v>0</v>
      </c>
      <c r="CA113" s="1">
        <f t="shared" si="127"/>
        <v>0</v>
      </c>
    </row>
    <row r="114" spans="1:79" s="21" customFormat="1" ht="15" hidden="1" customHeight="1" x14ac:dyDescent="0.25">
      <c r="A114" s="7"/>
      <c r="B114" s="7"/>
      <c r="C114" s="21">
        <f>+C108*C111</f>
        <v>289897.04000000004</v>
      </c>
      <c r="D114" s="21">
        <f>+D108*D111</f>
        <v>72474.240000000005</v>
      </c>
      <c r="I114" s="10" t="e">
        <f>+C114-#REF!</f>
        <v>#REF!</v>
      </c>
      <c r="J114" s="10" t="e">
        <f>+D114-#REF!</f>
        <v>#REF!</v>
      </c>
      <c r="AO114" s="9"/>
      <c r="AP114" s="7"/>
      <c r="AQ114" s="7"/>
      <c r="AR114" s="8"/>
      <c r="AS114" s="8"/>
      <c r="AT114" s="12"/>
      <c r="AU114" s="12"/>
      <c r="AV114" s="50"/>
      <c r="AW114" s="50"/>
      <c r="AX114" s="50"/>
      <c r="AY114" s="12"/>
      <c r="AZ114" s="12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1"/>
      <c r="BT114" s="1"/>
      <c r="BU114" s="1"/>
      <c r="BV114" s="1"/>
      <c r="BW114" s="1"/>
      <c r="BY114" s="1">
        <f t="shared" si="128"/>
        <v>0</v>
      </c>
      <c r="BZ114" s="1">
        <f t="shared" si="126"/>
        <v>0</v>
      </c>
      <c r="CA114" s="1">
        <f t="shared" si="127"/>
        <v>0</v>
      </c>
    </row>
    <row r="115" spans="1:79" s="21" customFormat="1" ht="15" hidden="1" customHeight="1" x14ac:dyDescent="0.25">
      <c r="A115" s="7"/>
      <c r="B115" s="7"/>
      <c r="I115" s="10" t="e">
        <f>+C115-#REF!</f>
        <v>#REF!</v>
      </c>
      <c r="J115" s="10" t="e">
        <f>+D115-#REF!</f>
        <v>#REF!</v>
      </c>
      <c r="AO115" s="9"/>
      <c r="AP115" s="7"/>
      <c r="AQ115" s="7"/>
      <c r="AR115" s="8"/>
      <c r="AS115" s="8"/>
      <c r="AT115" s="12"/>
      <c r="AU115" s="12"/>
      <c r="AV115" s="50"/>
      <c r="AW115" s="50"/>
      <c r="AX115" s="50"/>
      <c r="AY115" s="12"/>
      <c r="AZ115" s="12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1"/>
      <c r="BT115" s="1"/>
      <c r="BU115" s="1"/>
      <c r="BV115" s="1"/>
      <c r="BW115" s="1"/>
      <c r="BY115" s="1">
        <f t="shared" si="128"/>
        <v>0</v>
      </c>
      <c r="BZ115" s="1">
        <f t="shared" si="126"/>
        <v>0</v>
      </c>
      <c r="CA115" s="1">
        <f t="shared" si="127"/>
        <v>0</v>
      </c>
    </row>
    <row r="116" spans="1:79" s="21" customFormat="1" ht="15" hidden="1" customHeight="1" x14ac:dyDescent="0.25">
      <c r="A116" s="7"/>
      <c r="B116" s="7"/>
      <c r="I116" s="10" t="e">
        <f>+C116-#REF!</f>
        <v>#REF!</v>
      </c>
      <c r="J116" s="10" t="e">
        <f>+D116-#REF!</f>
        <v>#REF!</v>
      </c>
      <c r="AO116" s="9"/>
      <c r="AP116" s="7"/>
      <c r="AQ116" s="7"/>
      <c r="AR116" s="8"/>
      <c r="AS116" s="8"/>
      <c r="AT116" s="12"/>
      <c r="AU116" s="12"/>
      <c r="AV116" s="50"/>
      <c r="AW116" s="50"/>
      <c r="AX116" s="50"/>
      <c r="AY116" s="12"/>
      <c r="AZ116" s="12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1"/>
      <c r="BT116" s="1"/>
      <c r="BU116" s="1"/>
      <c r="BV116" s="1"/>
      <c r="BW116" s="1"/>
      <c r="BY116" s="1">
        <f t="shared" si="128"/>
        <v>0</v>
      </c>
      <c r="BZ116" s="1">
        <f t="shared" si="126"/>
        <v>0</v>
      </c>
      <c r="CA116" s="1">
        <f t="shared" si="127"/>
        <v>0</v>
      </c>
    </row>
    <row r="117" spans="1:79" s="21" customFormat="1" ht="15" hidden="1" customHeight="1" x14ac:dyDescent="0.25">
      <c r="A117" s="7"/>
      <c r="B117" s="7"/>
      <c r="I117" s="10" t="e">
        <f>+C117-#REF!</f>
        <v>#REF!</v>
      </c>
      <c r="J117" s="10" t="e">
        <f>+D117-#REF!</f>
        <v>#REF!</v>
      </c>
      <c r="AO117" s="9"/>
      <c r="AP117" s="7"/>
      <c r="AQ117" s="7"/>
      <c r="AR117" s="8"/>
      <c r="AS117" s="8"/>
      <c r="AT117" s="12"/>
      <c r="AU117" s="12"/>
      <c r="AV117" s="50"/>
      <c r="AW117" s="50"/>
      <c r="AX117" s="50"/>
      <c r="AY117" s="12"/>
      <c r="AZ117" s="12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1"/>
      <c r="BT117" s="1"/>
      <c r="BU117" s="1"/>
      <c r="BV117" s="1"/>
      <c r="BW117" s="1"/>
      <c r="BY117" s="1">
        <f t="shared" si="128"/>
        <v>0</v>
      </c>
      <c r="BZ117" s="1">
        <f t="shared" si="126"/>
        <v>0</v>
      </c>
      <c r="CA117" s="1">
        <f t="shared" si="127"/>
        <v>0</v>
      </c>
    </row>
    <row r="118" spans="1:79" s="21" customFormat="1" ht="15" hidden="1" customHeight="1" x14ac:dyDescent="0.25">
      <c r="A118" s="7"/>
      <c r="B118" s="7"/>
      <c r="C118" s="21">
        <f>-1+0.047</f>
        <v>-0.95299999999999996</v>
      </c>
      <c r="I118" s="10" t="e">
        <f>+C118-#REF!</f>
        <v>#REF!</v>
      </c>
      <c r="J118" s="10" t="e">
        <f>+D118-#REF!</f>
        <v>#REF!</v>
      </c>
      <c r="AO118" s="9"/>
      <c r="AP118" s="7"/>
      <c r="AQ118" s="7"/>
      <c r="AR118" s="8"/>
      <c r="AS118" s="8"/>
      <c r="AT118" s="12"/>
      <c r="AU118" s="12"/>
      <c r="AV118" s="50"/>
      <c r="AW118" s="50"/>
      <c r="AX118" s="50"/>
      <c r="AY118" s="12"/>
      <c r="AZ118" s="12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1"/>
      <c r="BT118" s="1"/>
      <c r="BU118" s="1"/>
      <c r="BV118" s="1"/>
      <c r="BW118" s="1"/>
      <c r="BY118" s="1">
        <f t="shared" si="128"/>
        <v>0</v>
      </c>
      <c r="BZ118" s="1">
        <f t="shared" si="126"/>
        <v>0</v>
      </c>
      <c r="CA118" s="1">
        <f t="shared" si="127"/>
        <v>0</v>
      </c>
    </row>
    <row r="119" spans="1:79" s="21" customFormat="1" ht="15" hidden="1" customHeight="1" x14ac:dyDescent="0.25">
      <c r="A119" s="7"/>
      <c r="B119" s="7"/>
      <c r="C119" s="21">
        <f>+C118*C100</f>
        <v>-83196900</v>
      </c>
      <c r="I119" s="10" t="e">
        <f>+C119-#REF!</f>
        <v>#REF!</v>
      </c>
      <c r="J119" s="10" t="e">
        <f>+D119-#REF!</f>
        <v>#REF!</v>
      </c>
      <c r="AO119" s="9"/>
      <c r="AP119" s="7"/>
      <c r="AQ119" s="7"/>
      <c r="AR119" s="8"/>
      <c r="AS119" s="8"/>
      <c r="AT119" s="12"/>
      <c r="AU119" s="12"/>
      <c r="AV119" s="50"/>
      <c r="AW119" s="50"/>
      <c r="AX119" s="50"/>
      <c r="AY119" s="12"/>
      <c r="AZ119" s="12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1"/>
      <c r="BT119" s="1"/>
      <c r="BU119" s="1"/>
      <c r="BV119" s="1"/>
      <c r="BW119" s="1"/>
      <c r="BY119" s="1">
        <f t="shared" si="128"/>
        <v>0</v>
      </c>
      <c r="BZ119" s="1">
        <f t="shared" si="126"/>
        <v>0</v>
      </c>
      <c r="CA119" s="1">
        <f t="shared" si="127"/>
        <v>0</v>
      </c>
    </row>
    <row r="120" spans="1:79" s="21" customFormat="1" ht="15" hidden="1" customHeight="1" x14ac:dyDescent="0.25">
      <c r="A120" s="7"/>
      <c r="B120" s="7"/>
      <c r="I120" s="10" t="e">
        <f>+C120-#REF!</f>
        <v>#REF!</v>
      </c>
      <c r="J120" s="10" t="e">
        <f>+D120-#REF!</f>
        <v>#REF!</v>
      </c>
      <c r="AO120" s="9"/>
      <c r="AP120" s="7"/>
      <c r="AQ120" s="7"/>
      <c r="AR120" s="8"/>
      <c r="AS120" s="8"/>
      <c r="AT120" s="12"/>
      <c r="AU120" s="12"/>
      <c r="AV120" s="50"/>
      <c r="AW120" s="50"/>
      <c r="AX120" s="50"/>
      <c r="AY120" s="12"/>
      <c r="AZ120" s="12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1"/>
      <c r="BT120" s="1"/>
      <c r="BU120" s="1"/>
      <c r="BV120" s="1"/>
      <c r="BW120" s="1"/>
      <c r="BY120" s="1">
        <f t="shared" si="128"/>
        <v>0</v>
      </c>
      <c r="BZ120" s="1">
        <f t="shared" si="126"/>
        <v>0</v>
      </c>
      <c r="CA120" s="1">
        <f t="shared" si="127"/>
        <v>0</v>
      </c>
    </row>
    <row r="121" spans="1:79" s="21" customFormat="1" ht="15" hidden="1" customHeight="1" x14ac:dyDescent="0.25">
      <c r="A121" s="7"/>
      <c r="B121" s="7"/>
      <c r="I121" s="10" t="e">
        <f>+C121-#REF!</f>
        <v>#REF!</v>
      </c>
      <c r="J121" s="10" t="e">
        <f>+D121-#REF!</f>
        <v>#REF!</v>
      </c>
      <c r="AO121" s="9"/>
      <c r="AP121" s="7"/>
      <c r="AQ121" s="7"/>
      <c r="AR121" s="8"/>
      <c r="AS121" s="8"/>
      <c r="AT121" s="12"/>
      <c r="AU121" s="12"/>
      <c r="AV121" s="50"/>
      <c r="AW121" s="50"/>
      <c r="AX121" s="50"/>
      <c r="AY121" s="12"/>
      <c r="AZ121" s="12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1"/>
      <c r="BT121" s="1"/>
      <c r="BU121" s="1"/>
      <c r="BV121" s="1"/>
      <c r="BW121" s="1"/>
      <c r="BY121" s="1">
        <f t="shared" si="128"/>
        <v>0</v>
      </c>
      <c r="BZ121" s="1">
        <f t="shared" si="126"/>
        <v>0</v>
      </c>
      <c r="CA121" s="1">
        <f t="shared" si="127"/>
        <v>0</v>
      </c>
    </row>
    <row r="122" spans="1:79" s="21" customFormat="1" ht="15" hidden="1" customHeight="1" x14ac:dyDescent="0.25">
      <c r="A122" s="7"/>
      <c r="B122" s="7"/>
      <c r="AO122" s="7"/>
      <c r="AP122" s="7"/>
      <c r="AQ122" s="7"/>
      <c r="AR122" s="8"/>
      <c r="AS122" s="8"/>
      <c r="AT122" s="50"/>
      <c r="AU122" s="50"/>
      <c r="AV122" s="50"/>
      <c r="AW122" s="50"/>
      <c r="AX122" s="50"/>
      <c r="AY122" s="50"/>
      <c r="AZ122" s="50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1"/>
      <c r="BT122" s="1"/>
      <c r="BU122" s="1"/>
      <c r="BV122" s="1"/>
      <c r="BW122" s="1"/>
      <c r="BY122" s="1">
        <f t="shared" si="128"/>
        <v>0</v>
      </c>
      <c r="BZ122" s="1">
        <f t="shared" si="126"/>
        <v>0</v>
      </c>
      <c r="CA122" s="1">
        <f t="shared" si="127"/>
        <v>0</v>
      </c>
    </row>
    <row r="123" spans="1:79" s="21" customFormat="1" ht="15" hidden="1" customHeight="1" x14ac:dyDescent="0.25">
      <c r="A123" s="7"/>
      <c r="B123" s="7"/>
      <c r="AO123" s="9"/>
      <c r="AP123" s="7"/>
      <c r="AQ123" s="7"/>
      <c r="AR123" s="8"/>
      <c r="AS123" s="8"/>
      <c r="AT123" s="12"/>
      <c r="AU123" s="12"/>
      <c r="AV123" s="50"/>
      <c r="AW123" s="50"/>
      <c r="AX123" s="50"/>
      <c r="AY123" s="12"/>
      <c r="AZ123" s="12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1"/>
      <c r="BT123" s="1"/>
      <c r="BU123" s="1"/>
      <c r="BV123" s="1"/>
      <c r="BW123" s="1"/>
      <c r="BY123" s="1">
        <f t="shared" si="128"/>
        <v>0</v>
      </c>
      <c r="BZ123" s="1">
        <f t="shared" si="126"/>
        <v>0</v>
      </c>
      <c r="CA123" s="1">
        <f t="shared" si="127"/>
        <v>0</v>
      </c>
    </row>
    <row r="124" spans="1:79" s="7" customFormat="1" ht="15" hidden="1" customHeight="1" x14ac:dyDescent="0.2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R124" s="8"/>
      <c r="AS124" s="8"/>
      <c r="AT124" s="12"/>
      <c r="AU124" s="12"/>
      <c r="AV124" s="50"/>
      <c r="AW124" s="50"/>
      <c r="AX124" s="50"/>
      <c r="AY124" s="12"/>
      <c r="AZ124" s="12"/>
      <c r="BA124" s="21"/>
      <c r="BB124" s="21"/>
      <c r="BC124" s="21"/>
      <c r="BD124" s="21"/>
      <c r="BE124" s="21"/>
      <c r="BF124" s="21"/>
      <c r="BG124" s="21"/>
      <c r="BH124" s="21"/>
      <c r="BS124" s="1"/>
      <c r="BT124" s="1"/>
      <c r="BU124" s="1"/>
      <c r="BV124" s="1"/>
      <c r="BW124" s="1"/>
      <c r="BY124" s="1">
        <f t="shared" si="128"/>
        <v>0</v>
      </c>
      <c r="BZ124" s="1">
        <f t="shared" si="126"/>
        <v>0</v>
      </c>
      <c r="CA124" s="1">
        <f t="shared" si="127"/>
        <v>0</v>
      </c>
    </row>
    <row r="125" spans="1:79" s="7" customFormat="1" ht="15" hidden="1" customHeight="1" x14ac:dyDescent="0.2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R125" s="8"/>
      <c r="AS125" s="8"/>
      <c r="AT125" s="50"/>
      <c r="AU125" s="50"/>
      <c r="AV125" s="50"/>
      <c r="AW125" s="50"/>
      <c r="AX125" s="50"/>
      <c r="AY125" s="50"/>
      <c r="AZ125" s="50"/>
      <c r="BA125" s="21"/>
      <c r="BB125" s="21"/>
      <c r="BC125" s="21"/>
      <c r="BD125" s="21"/>
      <c r="BE125" s="21"/>
      <c r="BF125" s="21"/>
      <c r="BG125" s="21"/>
      <c r="BH125" s="21"/>
      <c r="BS125" s="1"/>
      <c r="BT125" s="1"/>
      <c r="BU125" s="1"/>
      <c r="BV125" s="1"/>
      <c r="BW125" s="1"/>
      <c r="BY125" s="1">
        <f t="shared" si="128"/>
        <v>0</v>
      </c>
      <c r="BZ125" s="1">
        <f t="shared" si="126"/>
        <v>0</v>
      </c>
      <c r="CA125" s="1">
        <f t="shared" si="127"/>
        <v>0</v>
      </c>
    </row>
    <row r="126" spans="1:79" s="7" customFormat="1" ht="15" hidden="1" customHeight="1" x14ac:dyDescent="0.2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R126" s="8"/>
      <c r="AS126" s="8"/>
      <c r="AT126" s="50"/>
      <c r="AU126" s="50"/>
      <c r="AV126" s="50"/>
      <c r="AW126" s="50"/>
      <c r="AX126" s="50"/>
      <c r="AY126" s="50"/>
      <c r="AZ126" s="50"/>
      <c r="BA126" s="21"/>
      <c r="BB126" s="21"/>
      <c r="BC126" s="21"/>
      <c r="BD126" s="21"/>
      <c r="BE126" s="21"/>
      <c r="BF126" s="21"/>
      <c r="BG126" s="21"/>
      <c r="BH126" s="21"/>
      <c r="BS126" s="1"/>
      <c r="BT126" s="1"/>
      <c r="BU126" s="1"/>
      <c r="BV126" s="1"/>
      <c r="BW126" s="1"/>
      <c r="BY126" s="1">
        <f t="shared" si="128"/>
        <v>0</v>
      </c>
      <c r="BZ126" s="1">
        <f t="shared" si="126"/>
        <v>0</v>
      </c>
      <c r="CA126" s="1">
        <f t="shared" si="127"/>
        <v>0</v>
      </c>
    </row>
    <row r="127" spans="1:79" s="7" customFormat="1" x14ac:dyDescent="0.25">
      <c r="A127" s="29" t="s">
        <v>116</v>
      </c>
      <c r="B127" s="9"/>
      <c r="C127" s="30">
        <f>+C38+C29+C42</f>
        <v>1362982.02</v>
      </c>
      <c r="D127" s="30">
        <f>+D38+D29+D42</f>
        <v>234919.93000000002</v>
      </c>
      <c r="E127" s="30">
        <f>+E38+E29+E42</f>
        <v>1597901.95</v>
      </c>
      <c r="F127" s="30"/>
      <c r="G127" s="30"/>
      <c r="H127" s="30"/>
      <c r="I127" s="30" t="e">
        <f t="shared" ref="I127:AO127" si="130">+I38+I29+I42</f>
        <v>#REF!</v>
      </c>
      <c r="J127" s="30" t="e">
        <f t="shared" si="130"/>
        <v>#REF!</v>
      </c>
      <c r="K127" s="30">
        <f>+K38+K29+K42</f>
        <v>85000</v>
      </c>
      <c r="L127" s="30">
        <f t="shared" si="130"/>
        <v>0</v>
      </c>
      <c r="M127" s="30">
        <f t="shared" si="130"/>
        <v>85000</v>
      </c>
      <c r="N127" s="30">
        <f t="shared" si="130"/>
        <v>467788.42</v>
      </c>
      <c r="O127" s="30">
        <f t="shared" si="130"/>
        <v>34511.42</v>
      </c>
      <c r="P127" s="30">
        <f>+P38+P29+P42</f>
        <v>502299.83999999997</v>
      </c>
      <c r="Q127" s="30">
        <f t="shared" si="130"/>
        <v>0</v>
      </c>
      <c r="R127" s="30">
        <f t="shared" si="130"/>
        <v>76753</v>
      </c>
      <c r="S127" s="30">
        <f t="shared" si="130"/>
        <v>76753</v>
      </c>
      <c r="T127" s="30">
        <f t="shared" si="130"/>
        <v>6742.4699999999993</v>
      </c>
      <c r="U127" s="30">
        <f t="shared" si="130"/>
        <v>0</v>
      </c>
      <c r="V127" s="30">
        <f t="shared" si="130"/>
        <v>6742.4699999999993</v>
      </c>
      <c r="W127" s="30">
        <f t="shared" ref="W127:Y127" si="131">+W38+W29+W42</f>
        <v>559530.89</v>
      </c>
      <c r="X127" s="30">
        <f t="shared" si="131"/>
        <v>111264.41999999998</v>
      </c>
      <c r="Y127" s="30">
        <f t="shared" si="131"/>
        <v>670795.30999999994</v>
      </c>
      <c r="Z127" s="30">
        <f>+Z38+Z29+Z42</f>
        <v>0</v>
      </c>
      <c r="AA127" s="30">
        <f t="shared" ref="AA127:AD127" si="132">+AA38+AA29+AA42</f>
        <v>0</v>
      </c>
      <c r="AB127" s="30">
        <f t="shared" si="132"/>
        <v>0</v>
      </c>
      <c r="AC127" s="30">
        <f t="shared" si="132"/>
        <v>467788.42</v>
      </c>
      <c r="AD127" s="30">
        <f t="shared" si="132"/>
        <v>34511.42</v>
      </c>
      <c r="AE127" s="30">
        <f>+AE38+AE29+AE42</f>
        <v>502299.83999999997</v>
      </c>
      <c r="AF127" s="30">
        <f t="shared" ref="AF127:AK127" si="133">+AF38+AF29+AF42</f>
        <v>0</v>
      </c>
      <c r="AG127" s="30">
        <f t="shared" si="133"/>
        <v>76753</v>
      </c>
      <c r="AH127" s="30">
        <f t="shared" si="133"/>
        <v>76753</v>
      </c>
      <c r="AI127" s="30">
        <f t="shared" si="133"/>
        <v>6742.47</v>
      </c>
      <c r="AJ127" s="30">
        <f t="shared" si="133"/>
        <v>0</v>
      </c>
      <c r="AK127" s="30">
        <f t="shared" si="133"/>
        <v>6742.47</v>
      </c>
      <c r="AL127" s="30">
        <f t="shared" si="130"/>
        <v>474530.89</v>
      </c>
      <c r="AM127" s="30">
        <f t="shared" si="130"/>
        <v>111264.41999999998</v>
      </c>
      <c r="AN127" s="30">
        <f t="shared" si="130"/>
        <v>585795.30999999994</v>
      </c>
      <c r="AO127" s="30" t="e">
        <f t="shared" si="130"/>
        <v>#REF!</v>
      </c>
      <c r="AR127" s="8"/>
      <c r="AS127" s="8"/>
      <c r="AT127" s="12"/>
      <c r="AU127" s="12"/>
      <c r="AV127" s="32">
        <f>+AL127/C127</f>
        <v>0.34815638286996625</v>
      </c>
      <c r="AW127" s="32">
        <f>+AM127/D127</f>
        <v>0.47362699282261822</v>
      </c>
      <c r="AX127" s="32">
        <f>+AN127/E127</f>
        <v>0.36660278811224928</v>
      </c>
      <c r="AY127" s="12"/>
      <c r="AZ127" s="12"/>
      <c r="BA127" s="30">
        <f>+C127-K127-N127-Q127</f>
        <v>810193.60000000009</v>
      </c>
      <c r="BB127" s="30">
        <f>+D127-L127-O127-R127</f>
        <v>123655.51000000001</v>
      </c>
      <c r="BC127" s="30">
        <f>+E127-M127-P127-S127</f>
        <v>933849.11</v>
      </c>
      <c r="BD127" s="71"/>
      <c r="BE127" s="30">
        <f>+K127+N127+Q127-AL127</f>
        <v>78257.529999999912</v>
      </c>
      <c r="BF127" s="30">
        <f>+L127+O127+R127-AM127</f>
        <v>0</v>
      </c>
      <c r="BG127" s="30">
        <f>+M127+P127+S127-AN127</f>
        <v>78257.530000000028</v>
      </c>
      <c r="BH127" s="72"/>
      <c r="BS127" s="1"/>
      <c r="BT127" s="1"/>
      <c r="BU127" s="1"/>
      <c r="BV127" s="1"/>
      <c r="BW127" s="1"/>
      <c r="BY127" s="1">
        <f t="shared" si="128"/>
        <v>85000</v>
      </c>
      <c r="BZ127" s="1">
        <f t="shared" si="126"/>
        <v>0</v>
      </c>
      <c r="CA127" s="1">
        <f t="shared" si="127"/>
        <v>85000</v>
      </c>
    </row>
    <row r="129" spans="1:75" s="7" customFormat="1" ht="18.75" x14ac:dyDescent="0.25">
      <c r="A129" s="155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R129" s="8"/>
      <c r="AS129" s="8"/>
      <c r="AT129" s="50"/>
      <c r="AU129" s="50"/>
      <c r="AV129" s="79"/>
      <c r="AW129" s="79"/>
      <c r="AX129" s="79"/>
      <c r="AY129" s="50"/>
      <c r="AZ129" s="50"/>
      <c r="BA129" s="49"/>
      <c r="BB129" s="49"/>
      <c r="BC129" s="21"/>
      <c r="BD129" s="21"/>
      <c r="BE129" s="49"/>
      <c r="BF129" s="49"/>
      <c r="BG129" s="49"/>
      <c r="BH129" s="21"/>
      <c r="BS129" s="1"/>
      <c r="BT129" s="1"/>
      <c r="BU129" s="1"/>
      <c r="BV129" s="1"/>
      <c r="BW129" s="1"/>
    </row>
    <row r="130" spans="1:75" s="7" customFormat="1" ht="18.75" x14ac:dyDescent="0.25">
      <c r="A130" s="155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R130" s="8"/>
      <c r="AS130" s="8"/>
      <c r="AT130" s="50"/>
      <c r="AU130" s="50"/>
      <c r="AV130" s="79"/>
      <c r="AW130" s="79"/>
      <c r="AX130" s="79"/>
      <c r="AY130" s="50"/>
      <c r="AZ130" s="50"/>
      <c r="BA130" s="49"/>
      <c r="BB130" s="49"/>
      <c r="BC130" s="49"/>
      <c r="BD130" s="21"/>
      <c r="BE130" s="49"/>
      <c r="BF130" s="49"/>
      <c r="BG130" s="49"/>
      <c r="BH130" s="21"/>
      <c r="BS130" s="1"/>
      <c r="BT130" s="1"/>
      <c r="BU130" s="1"/>
      <c r="BV130" s="1"/>
      <c r="BW130" s="1"/>
    </row>
    <row r="131" spans="1:75" s="7" customFormat="1" x14ac:dyDescent="0.25">
      <c r="A131" s="153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R131" s="8"/>
      <c r="AS131" s="8"/>
      <c r="AT131" s="50"/>
      <c r="AU131" s="50"/>
      <c r="AV131" s="79"/>
      <c r="AW131" s="79"/>
      <c r="AX131" s="79"/>
      <c r="AY131" s="50"/>
      <c r="AZ131" s="50"/>
      <c r="BA131" s="49"/>
      <c r="BB131" s="49"/>
      <c r="BC131" s="49"/>
      <c r="BD131" s="21"/>
      <c r="BE131" s="49"/>
      <c r="BF131" s="49"/>
      <c r="BG131" s="49"/>
      <c r="BH131" s="21"/>
      <c r="BS131" s="1"/>
      <c r="BT131" s="1"/>
      <c r="BU131" s="1"/>
      <c r="BV131" s="1"/>
      <c r="BW131" s="1"/>
    </row>
    <row r="132" spans="1:75" x14ac:dyDescent="0.25">
      <c r="N132" s="80">
        <f>+N35/3</f>
        <v>27051.576666666664</v>
      </c>
      <c r="O132" s="80">
        <f>+N132*0.8</f>
        <v>21641.261333333332</v>
      </c>
      <c r="P132" s="80">
        <f>+N132*0.2</f>
        <v>5410.315333333333</v>
      </c>
      <c r="AC132" s="80">
        <f>+AC35/3</f>
        <v>27051.576666666664</v>
      </c>
      <c r="AD132" s="80">
        <f>+AC132*0.8</f>
        <v>21641.261333333332</v>
      </c>
      <c r="AE132" s="80">
        <f>+AC132*0.2</f>
        <v>5410.315333333333</v>
      </c>
    </row>
  </sheetData>
  <mergeCells count="83">
    <mergeCell ref="W5:Y5"/>
    <mergeCell ref="W20:W23"/>
    <mergeCell ref="X20:X23"/>
    <mergeCell ref="Y20:Y23"/>
    <mergeCell ref="AX20:AX23"/>
    <mergeCell ref="Z4:AN4"/>
    <mergeCell ref="AV20:AV23"/>
    <mergeCell ref="Z5:AB5"/>
    <mergeCell ref="AC5:AE5"/>
    <mergeCell ref="AF5:AH5"/>
    <mergeCell ref="AI5:AK5"/>
    <mergeCell ref="A131:AN131"/>
    <mergeCell ref="C40:E40"/>
    <mergeCell ref="K40:M40"/>
    <mergeCell ref="AL40:AN40"/>
    <mergeCell ref="C20:C23"/>
    <mergeCell ref="D20:D23"/>
    <mergeCell ref="E20:E23"/>
    <mergeCell ref="K20:K23"/>
    <mergeCell ref="L20:L23"/>
    <mergeCell ref="M20:M23"/>
    <mergeCell ref="N20:N23"/>
    <mergeCell ref="O20:O23"/>
    <mergeCell ref="P20:P23"/>
    <mergeCell ref="Q20:Q23"/>
    <mergeCell ref="AN20:AN23"/>
    <mergeCell ref="T20:T23"/>
    <mergeCell ref="A130:AN130"/>
    <mergeCell ref="U20:U23"/>
    <mergeCell ref="V20:V23"/>
    <mergeCell ref="AL20:AL23"/>
    <mergeCell ref="AM20:AM23"/>
    <mergeCell ref="C33:E33"/>
    <mergeCell ref="K33:M33"/>
    <mergeCell ref="AL33:AN33"/>
    <mergeCell ref="Z20:Z23"/>
    <mergeCell ref="AA20:AA23"/>
    <mergeCell ref="AB20:AB23"/>
    <mergeCell ref="AC20:AC23"/>
    <mergeCell ref="AD20:AD23"/>
    <mergeCell ref="AE20:AE23"/>
    <mergeCell ref="AF20:AF23"/>
    <mergeCell ref="AG20:AG23"/>
    <mergeCell ref="BE5:BG5"/>
    <mergeCell ref="R20:R23"/>
    <mergeCell ref="S20:S23"/>
    <mergeCell ref="A129:AN129"/>
    <mergeCell ref="AV40:AX40"/>
    <mergeCell ref="BA40:BC40"/>
    <mergeCell ref="BE40:BG40"/>
    <mergeCell ref="AV33:AX33"/>
    <mergeCell ref="AH20:AH23"/>
    <mergeCell ref="AI20:AI23"/>
    <mergeCell ref="AJ20:AJ23"/>
    <mergeCell ref="AK20:AK23"/>
    <mergeCell ref="Z33:AB33"/>
    <mergeCell ref="AC33:AE33"/>
    <mergeCell ref="AF33:AH33"/>
    <mergeCell ref="AW20:AW23"/>
    <mergeCell ref="N33:P33"/>
    <mergeCell ref="Q33:S33"/>
    <mergeCell ref="N40:P40"/>
    <mergeCell ref="Q40:S40"/>
    <mergeCell ref="BA33:BC33"/>
    <mergeCell ref="Z40:AB40"/>
    <mergeCell ref="AC40:AE40"/>
    <mergeCell ref="AF40:AH40"/>
    <mergeCell ref="BA5:BC5"/>
    <mergeCell ref="BE33:BG33"/>
    <mergeCell ref="BL6:BQ6"/>
    <mergeCell ref="A1:AN1"/>
    <mergeCell ref="BB4:BC4"/>
    <mergeCell ref="BF4:BG4"/>
    <mergeCell ref="C5:E5"/>
    <mergeCell ref="F5:H5"/>
    <mergeCell ref="K5:M5"/>
    <mergeCell ref="AL5:AN5"/>
    <mergeCell ref="N5:P5"/>
    <mergeCell ref="K4:V4"/>
    <mergeCell ref="T5:V5"/>
    <mergeCell ref="AW4:AX4"/>
    <mergeCell ref="AV5:AX5"/>
    <mergeCell ref="Q5:S5"/>
  </mergeCells>
  <pageMargins left="1.0236220472440944" right="0.23622047244094491" top="0.51181102362204722" bottom="0.35433070866141736" header="0.31496062992125984" footer="0.31496062992125984"/>
  <pageSetup paperSize="5" scale="28" orientation="landscape" r:id="rId1"/>
  <rowBreaks count="1" manualBreakCount="1">
    <brk id="31" max="4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048576"/>
  <sheetViews>
    <sheetView workbookViewId="0">
      <selection activeCell="B5" sqref="B5"/>
    </sheetView>
  </sheetViews>
  <sheetFormatPr baseColWidth="10" defaultRowHeight="15" x14ac:dyDescent="0.25"/>
  <cols>
    <col min="6" max="6" width="14.140625" style="3" bestFit="1" customWidth="1"/>
  </cols>
  <sheetData>
    <row r="4" spans="2:4" x14ac:dyDescent="0.25">
      <c r="B4" t="s">
        <v>149</v>
      </c>
      <c r="C4" t="s">
        <v>148</v>
      </c>
      <c r="D4">
        <v>2868.73</v>
      </c>
    </row>
    <row r="1048576" spans="6:6" x14ac:dyDescent="0.25">
      <c r="F1048576" s="3">
        <f>SUM(F1:F1048575)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N27"/>
  <sheetViews>
    <sheetView topLeftCell="B13" workbookViewId="0">
      <selection activeCell="F10" sqref="F10"/>
    </sheetView>
  </sheetViews>
  <sheetFormatPr baseColWidth="10" defaultRowHeight="15" x14ac:dyDescent="0.25"/>
  <cols>
    <col min="5" max="5" width="31.7109375" style="3" bestFit="1" customWidth="1"/>
    <col min="6" max="8" width="14.140625" style="3" bestFit="1" customWidth="1"/>
    <col min="12" max="14" width="14.140625" bestFit="1" customWidth="1"/>
  </cols>
  <sheetData>
    <row r="4" spans="4:13" x14ac:dyDescent="0.25">
      <c r="E4" s="3" t="s">
        <v>165</v>
      </c>
      <c r="F4" s="3" t="s">
        <v>166</v>
      </c>
    </row>
    <row r="5" spans="4:13" x14ac:dyDescent="0.25">
      <c r="D5" t="s">
        <v>155</v>
      </c>
      <c r="E5" s="95">
        <v>50890200</v>
      </c>
      <c r="F5" s="95">
        <v>12722550</v>
      </c>
      <c r="G5" s="95">
        <f>+F5+E5</f>
        <v>63612750</v>
      </c>
    </row>
    <row r="6" spans="4:13" x14ac:dyDescent="0.25">
      <c r="D6" t="s">
        <v>156</v>
      </c>
      <c r="E6" s="94">
        <v>2136000</v>
      </c>
      <c r="F6" s="94">
        <v>534000</v>
      </c>
      <c r="G6" s="94">
        <f>+F6+E6</f>
        <v>2670000</v>
      </c>
    </row>
    <row r="7" spans="4:13" x14ac:dyDescent="0.25">
      <c r="D7" t="s">
        <v>85</v>
      </c>
      <c r="E7" s="93">
        <v>373800</v>
      </c>
      <c r="F7" s="93">
        <v>93450</v>
      </c>
      <c r="G7" s="93">
        <f>+F7+E7</f>
        <v>467250</v>
      </c>
    </row>
    <row r="8" spans="4:13" x14ac:dyDescent="0.25">
      <c r="E8" s="3">
        <f>SUM(E5:E7)</f>
        <v>53400000</v>
      </c>
      <c r="F8" s="3">
        <f t="shared" ref="F8:G8" si="0">SUM(F5:F7)</f>
        <v>13350000</v>
      </c>
      <c r="G8" s="3">
        <f t="shared" si="0"/>
        <v>66750000</v>
      </c>
    </row>
    <row r="11" spans="4:13" x14ac:dyDescent="0.25">
      <c r="F11" s="3" t="s">
        <v>165</v>
      </c>
      <c r="G11" s="3" t="s">
        <v>166</v>
      </c>
    </row>
    <row r="12" spans="4:13" x14ac:dyDescent="0.25">
      <c r="E12" s="3" t="s">
        <v>157</v>
      </c>
      <c r="F12" s="3">
        <v>40712160</v>
      </c>
      <c r="G12" s="3">
        <v>10178040</v>
      </c>
      <c r="H12" s="3">
        <f>+G12+F12</f>
        <v>50890200</v>
      </c>
      <c r="K12" s="77">
        <f>+F12/$E$5</f>
        <v>0.8</v>
      </c>
      <c r="L12" s="77">
        <f>+G12/$F$5</f>
        <v>0.8</v>
      </c>
      <c r="M12" s="77">
        <f>+H12/$G$5</f>
        <v>0.8</v>
      </c>
    </row>
    <row r="13" spans="4:13" x14ac:dyDescent="0.25">
      <c r="E13" s="3" t="s">
        <v>158</v>
      </c>
      <c r="F13" s="3">
        <v>10178040</v>
      </c>
      <c r="G13" s="3">
        <v>2544510</v>
      </c>
      <c r="H13" s="3">
        <f>+G13+F13</f>
        <v>12722550</v>
      </c>
      <c r="K13" s="77">
        <f>+F13/$E$5</f>
        <v>0.2</v>
      </c>
      <c r="L13" s="77">
        <f>+G13/$F$5</f>
        <v>0.2</v>
      </c>
      <c r="M13" s="77">
        <f>+H13/$G$5</f>
        <v>0.2</v>
      </c>
    </row>
    <row r="14" spans="4:13" x14ac:dyDescent="0.25">
      <c r="F14" s="95">
        <f t="shared" ref="F14:G14" si="1">+F13+F12</f>
        <v>50890200</v>
      </c>
      <c r="G14" s="95">
        <f t="shared" si="1"/>
        <v>12722550</v>
      </c>
      <c r="H14" s="95">
        <f>+H13+H12</f>
        <v>63612750</v>
      </c>
      <c r="K14" s="77">
        <f>+F14/E8</f>
        <v>0.95299999999999996</v>
      </c>
      <c r="L14" s="77">
        <f t="shared" ref="L14" si="2">+G14/F8</f>
        <v>0.95299999999999996</v>
      </c>
      <c r="M14" s="77">
        <f>+H14/G8</f>
        <v>0.95299999999999996</v>
      </c>
    </row>
    <row r="17" spans="5:14" x14ac:dyDescent="0.25">
      <c r="L17" s="3" t="s">
        <v>165</v>
      </c>
      <c r="M17" s="3" t="s">
        <v>166</v>
      </c>
    </row>
    <row r="18" spans="5:14" x14ac:dyDescent="0.25">
      <c r="F18" s="3" t="s">
        <v>165</v>
      </c>
      <c r="G18" s="3" t="s">
        <v>166</v>
      </c>
      <c r="K18" t="s">
        <v>157</v>
      </c>
      <c r="L18" s="54">
        <f>+F12+F19+F25</f>
        <v>42720000</v>
      </c>
      <c r="M18" s="54">
        <f t="shared" ref="M18:N18" si="3">+G12+G19+G25</f>
        <v>10680000</v>
      </c>
      <c r="N18" s="54">
        <f t="shared" si="3"/>
        <v>53400000</v>
      </c>
    </row>
    <row r="19" spans="5:14" x14ac:dyDescent="0.25">
      <c r="E19" s="3" t="s">
        <v>159</v>
      </c>
      <c r="F19" s="3">
        <f>+E6*K12</f>
        <v>1708800</v>
      </c>
      <c r="G19" s="3">
        <f t="shared" ref="G19:H19" si="4">+F6*L12</f>
        <v>427200</v>
      </c>
      <c r="H19" s="3">
        <f t="shared" si="4"/>
        <v>2136000</v>
      </c>
      <c r="K19" t="s">
        <v>158</v>
      </c>
      <c r="L19" s="54">
        <f>+F13+F20+F26</f>
        <v>10680000</v>
      </c>
      <c r="M19" s="54">
        <f t="shared" ref="M19:N19" si="5">+G13+G20+G26</f>
        <v>2670000</v>
      </c>
      <c r="N19" s="54">
        <f t="shared" si="5"/>
        <v>13350000</v>
      </c>
    </row>
    <row r="20" spans="5:14" x14ac:dyDescent="0.25">
      <c r="E20" s="3" t="s">
        <v>160</v>
      </c>
      <c r="F20" s="3">
        <f>+E6*K13</f>
        <v>427200</v>
      </c>
      <c r="G20" s="3">
        <f t="shared" ref="G20:H20" si="6">+F6*L13</f>
        <v>106800</v>
      </c>
      <c r="H20" s="3">
        <f t="shared" si="6"/>
        <v>534000</v>
      </c>
      <c r="L20" s="54">
        <f>SUM(L18:L19)</f>
        <v>53400000</v>
      </c>
      <c r="M20" s="54">
        <f t="shared" ref="M20:N20" si="7">SUM(M18:M19)</f>
        <v>13350000</v>
      </c>
      <c r="N20" s="54">
        <f t="shared" si="7"/>
        <v>66750000</v>
      </c>
    </row>
    <row r="21" spans="5:14" x14ac:dyDescent="0.25">
      <c r="F21" s="94">
        <f>+F20+F19</f>
        <v>2136000</v>
      </c>
      <c r="G21" s="94">
        <f t="shared" ref="G21:H21" si="8">+G20+G19</f>
        <v>534000</v>
      </c>
      <c r="H21" s="94">
        <f t="shared" si="8"/>
        <v>2670000</v>
      </c>
    </row>
    <row r="22" spans="5:14" x14ac:dyDescent="0.25">
      <c r="N22" s="54">
        <f>+N18/N20</f>
        <v>0.8</v>
      </c>
    </row>
    <row r="24" spans="5:14" x14ac:dyDescent="0.25">
      <c r="F24" s="3" t="s">
        <v>165</v>
      </c>
      <c r="G24" s="3" t="s">
        <v>166</v>
      </c>
    </row>
    <row r="25" spans="5:14" x14ac:dyDescent="0.25">
      <c r="E25" s="3" t="s">
        <v>161</v>
      </c>
      <c r="F25" s="3">
        <f>+E7*K12</f>
        <v>299040</v>
      </c>
      <c r="G25" s="3">
        <f t="shared" ref="G25:H25" si="9">+F7*L12</f>
        <v>74760</v>
      </c>
      <c r="H25" s="3">
        <f t="shared" si="9"/>
        <v>373800</v>
      </c>
    </row>
    <row r="26" spans="5:14" x14ac:dyDescent="0.25">
      <c r="E26" s="3" t="s">
        <v>162</v>
      </c>
      <c r="F26" s="3">
        <f>+E7*K13</f>
        <v>74760</v>
      </c>
      <c r="G26" s="3">
        <f t="shared" ref="G26:H26" si="10">+F7*L13</f>
        <v>18690</v>
      </c>
      <c r="H26" s="3">
        <f t="shared" si="10"/>
        <v>93450</v>
      </c>
      <c r="I26" s="3"/>
    </row>
    <row r="27" spans="5:14" x14ac:dyDescent="0.25">
      <c r="F27" s="93">
        <f>+F26+F25</f>
        <v>373800</v>
      </c>
      <c r="G27" s="93">
        <f t="shared" ref="G27" si="11">+G26+G25</f>
        <v>93450</v>
      </c>
      <c r="H27" s="93">
        <f t="shared" ref="H27" si="12">+H26+H25</f>
        <v>467250</v>
      </c>
    </row>
  </sheetData>
  <pageMargins left="0.7" right="0.7" top="0.75" bottom="0.75" header="0.3" footer="0.3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Hoja1 (2)</vt:lpstr>
      <vt:lpstr>Avance Convenido</vt:lpstr>
      <vt:lpstr>Hoja1</vt:lpstr>
      <vt:lpstr>PF</vt:lpstr>
      <vt:lpstr>Hoja2</vt:lpstr>
      <vt:lpstr>GO</vt:lpstr>
      <vt:lpstr>Hoja3</vt:lpstr>
      <vt:lpstr>Hoja4</vt:lpstr>
      <vt:lpstr>'Avance Convenido'!Área_de_impresión</vt:lpstr>
      <vt:lpstr>Hoja1!Área_de_impresión</vt:lpstr>
      <vt:lpstr>'Hoja1 (2)'!Área_de_impresión</vt:lpstr>
      <vt:lpstr>PF!Área_de_impresión</vt:lpstr>
      <vt:lpstr>'Avance Convenido'!Títulos_a_imprimir</vt:lpstr>
      <vt:lpstr>'Hoja1 (2)'!Títulos_a_imprimir</vt:lpstr>
      <vt:lpstr>PF!Títulos_a_imprimir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Ninguno</dc:creator>
  <cp:lastModifiedBy>Ninguno</cp:lastModifiedBy>
  <cp:lastPrinted>2017-10-03T13:31:59Z</cp:lastPrinted>
  <dcterms:created xsi:type="dcterms:W3CDTF">2016-02-04T16:48:59Z</dcterms:created>
  <dcterms:modified xsi:type="dcterms:W3CDTF">2018-04-23T18:19:42Z</dcterms:modified>
</cp:coreProperties>
</file>